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6"/>
  <workbookPr/>
  <mc:AlternateContent xmlns:mc="http://schemas.openxmlformats.org/markup-compatibility/2006">
    <mc:Choice Requires="x15">
      <x15ac:absPath xmlns:x15ac="http://schemas.microsoft.com/office/spreadsheetml/2010/11/ac" url="C:\Users\saito-toshihiro.PREF\OneDrive - 群馬県\林政課共有\301 森林林業統計書\R5年版\03_集計\"/>
    </mc:Choice>
  </mc:AlternateContent>
  <xr:revisionPtr revIDLastSave="3" documentId="11_5437AD5951FC7BDFEF649EDCE4631D4561438110" xr6:coauthVersionLast="36" xr6:coauthVersionMax="36" xr10:uidLastSave="{FD572CC3-C7F2-4615-9472-B309768CAF55}"/>
  <bookViews>
    <workbookView xWindow="0" yWindow="0" windowWidth="28800" windowHeight="11460" tabRatio="949" activeTab="4" xr2:uid="{00000000-000D-0000-FFFF-FFFF00000000}"/>
  </bookViews>
  <sheets>
    <sheet name="【39P】4-1林道網整備計画" sheetId="3996" r:id="rId1"/>
    <sheet name="【40P-41P】4-2(1)開設累計・現況(2)開設実績" sheetId="2" r:id="rId2"/>
    <sheet name="【42P】4-3市町村別" sheetId="3990" r:id="rId3"/>
    <sheet name="【43P】4-4(1)(2)林道改良等" sheetId="3991" r:id="rId4"/>
    <sheet name="【44P】4-5作業道" sheetId="3995" r:id="rId5"/>
  </sheets>
  <definedNames>
    <definedName name="_xlnm.Print_Area" localSheetId="0">'【39P】4-1林道網整備計画'!$A$1:$M$54</definedName>
    <definedName name="_xlnm.Print_Area" localSheetId="1">'【40P-41P】4-2(1)開設累計・現況(2)開設実績'!$A$1:$P$48</definedName>
    <definedName name="_xlnm.Print_Area" localSheetId="2">'【42P】4-3市町村別'!$A$1:$I$58</definedName>
    <definedName name="_xlnm.Print_Area" localSheetId="3">'【43P】4-4(1)(2)林道改良等'!$A$1:$O$83</definedName>
    <definedName name="_xlnm.Print_Area" localSheetId="4">'【44P】4-5作業道'!$A$1:$I$55</definedName>
    <definedName name="_xlnm.Print_Titles" localSheetId="2">'【42P】4-3市町村別'!$3:$5</definedName>
    <definedName name="_xlnm.Print_Titles" localSheetId="4">'【44P】4-5作業道'!$3:$5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0" i="3995" l="1"/>
  <c r="C33" i="3991" l="1"/>
  <c r="B33" i="3991"/>
  <c r="C32" i="3991"/>
  <c r="B32" i="3991"/>
  <c r="C31" i="3991"/>
  <c r="B31" i="3991"/>
  <c r="C30" i="3991"/>
  <c r="B30" i="3991"/>
  <c r="C29" i="3991"/>
  <c r="B29" i="3991"/>
  <c r="H32" i="3995" l="1"/>
  <c r="G32" i="3995"/>
  <c r="G13" i="3995"/>
  <c r="G10" i="3995"/>
  <c r="H42" i="3995"/>
  <c r="H52" i="3995"/>
  <c r="H51" i="3995"/>
  <c r="H50" i="3995"/>
  <c r="H49" i="3995"/>
  <c r="H47" i="3995"/>
  <c r="H46" i="3995"/>
  <c r="H45" i="3995"/>
  <c r="H43" i="3995"/>
  <c r="H34" i="3995"/>
  <c r="H31" i="3995"/>
  <c r="H26" i="3995"/>
  <c r="H24" i="3995"/>
  <c r="H21" i="3995"/>
  <c r="H20" i="3995"/>
  <c r="H18" i="3995"/>
  <c r="H17" i="3995"/>
  <c r="H16" i="3995"/>
  <c r="H13" i="3995"/>
  <c r="H12" i="3995"/>
  <c r="H11" i="3995"/>
  <c r="H10" i="3995"/>
  <c r="I10" i="3995" s="1"/>
  <c r="H9" i="3995"/>
  <c r="G52" i="3995" l="1"/>
  <c r="G51" i="3995"/>
  <c r="G49" i="3995"/>
  <c r="G47" i="3995"/>
  <c r="G46" i="3995"/>
  <c r="G45" i="3995"/>
  <c r="G43" i="3995"/>
  <c r="G42" i="3995"/>
  <c r="G34" i="3995"/>
  <c r="G31" i="3995"/>
  <c r="G26" i="3995"/>
  <c r="G24" i="3995"/>
  <c r="G21" i="3995"/>
  <c r="G20" i="3995"/>
  <c r="G18" i="3995"/>
  <c r="G17" i="3995"/>
  <c r="G16" i="3995"/>
  <c r="G12" i="3995"/>
  <c r="G11" i="3995"/>
  <c r="G9" i="3995"/>
  <c r="F8" i="2" l="1"/>
  <c r="E16" i="2"/>
  <c r="E15" i="2"/>
  <c r="E14" i="2"/>
  <c r="E8" i="2" s="1"/>
  <c r="E13" i="2"/>
  <c r="E12" i="2"/>
  <c r="E11" i="2"/>
  <c r="E10" i="2"/>
  <c r="C15" i="3995"/>
  <c r="C14" i="3995" s="1"/>
  <c r="C48" i="3995"/>
  <c r="C44" i="3995"/>
  <c r="C30" i="3995"/>
  <c r="C23" i="3995"/>
  <c r="C46" i="3990"/>
  <c r="C17" i="3990"/>
  <c r="E18" i="2" l="1"/>
  <c r="C22" i="3995"/>
  <c r="G26" i="3990" l="1"/>
  <c r="D32" i="3990" l="1"/>
  <c r="G11" i="3990"/>
  <c r="C11" i="2" l="1"/>
  <c r="C31" i="2" l="1"/>
  <c r="I52" i="3995" l="1"/>
  <c r="I51" i="3995"/>
  <c r="I49" i="3995"/>
  <c r="G48" i="3995"/>
  <c r="F48" i="3995"/>
  <c r="E48" i="3995"/>
  <c r="D48" i="3995"/>
  <c r="I47" i="3995"/>
  <c r="I45" i="3995"/>
  <c r="F44" i="3995"/>
  <c r="E44" i="3995"/>
  <c r="D44" i="3995"/>
  <c r="I43" i="3995"/>
  <c r="H41" i="3995"/>
  <c r="G41" i="3995"/>
  <c r="F41" i="3995"/>
  <c r="E41" i="3995"/>
  <c r="D41" i="3995"/>
  <c r="C41" i="3995"/>
  <c r="C40" i="3995" s="1"/>
  <c r="I39" i="3995"/>
  <c r="I38" i="3995"/>
  <c r="I37" i="3995"/>
  <c r="I36" i="3995"/>
  <c r="I35" i="3995"/>
  <c r="I34" i="3995"/>
  <c r="I33" i="3995"/>
  <c r="I32" i="3995"/>
  <c r="I31" i="3995"/>
  <c r="F30" i="3995"/>
  <c r="E30" i="3995"/>
  <c r="D30" i="3995"/>
  <c r="I29" i="3995"/>
  <c r="I28" i="3995"/>
  <c r="I27" i="3995"/>
  <c r="I26" i="3995"/>
  <c r="I25" i="3995"/>
  <c r="I24" i="3995"/>
  <c r="F23" i="3995"/>
  <c r="E23" i="3995"/>
  <c r="D23" i="3995"/>
  <c r="I21" i="3995"/>
  <c r="I20" i="3995"/>
  <c r="I19" i="3995"/>
  <c r="I18" i="3995"/>
  <c r="I17" i="3995"/>
  <c r="H15" i="3995"/>
  <c r="G15" i="3995"/>
  <c r="G14" i="3995" s="1"/>
  <c r="F15" i="3995"/>
  <c r="F14" i="3995" s="1"/>
  <c r="E15" i="3995"/>
  <c r="E14" i="3995" s="1"/>
  <c r="D15" i="3995"/>
  <c r="D14" i="3995"/>
  <c r="I13" i="3995"/>
  <c r="I12" i="3995"/>
  <c r="I11" i="3995"/>
  <c r="I9" i="3995"/>
  <c r="F8" i="3995"/>
  <c r="F7" i="3995" s="1"/>
  <c r="E8" i="3995"/>
  <c r="E7" i="3995" s="1"/>
  <c r="D8" i="3995"/>
  <c r="D7" i="3995" s="1"/>
  <c r="C8" i="3995"/>
  <c r="C7" i="3995" s="1"/>
  <c r="C78" i="3991"/>
  <c r="B78" i="3991"/>
  <c r="C34" i="3991"/>
  <c r="B34" i="3991"/>
  <c r="G54" i="3990"/>
  <c r="I54" i="3990" s="1"/>
  <c r="G53" i="3990"/>
  <c r="I53" i="3990" s="1"/>
  <c r="G52" i="3990"/>
  <c r="I52" i="3990" s="1"/>
  <c r="G51" i="3990"/>
  <c r="H50" i="3990"/>
  <c r="F50" i="3990"/>
  <c r="E50" i="3990"/>
  <c r="D50" i="3990"/>
  <c r="C50" i="3990"/>
  <c r="G49" i="3990"/>
  <c r="I49" i="3990" s="1"/>
  <c r="G48" i="3990"/>
  <c r="I48" i="3990" s="1"/>
  <c r="H47" i="3990"/>
  <c r="H46" i="3990" s="1"/>
  <c r="G47" i="3990"/>
  <c r="I47" i="3990" s="1"/>
  <c r="F46" i="3990"/>
  <c r="E46" i="3990"/>
  <c r="D46" i="3990"/>
  <c r="C42" i="3990"/>
  <c r="G45" i="3990"/>
  <c r="I45" i="3990" s="1"/>
  <c r="H44" i="3990"/>
  <c r="G44" i="3990"/>
  <c r="I44" i="3990" s="1"/>
  <c r="H43" i="3990"/>
  <c r="F43" i="3990"/>
  <c r="E43" i="3990"/>
  <c r="D43" i="3990"/>
  <c r="C43" i="3990"/>
  <c r="G41" i="3990"/>
  <c r="I41" i="3990" s="1"/>
  <c r="G40" i="3990"/>
  <c r="I40" i="3990" s="1"/>
  <c r="G39" i="3990"/>
  <c r="I39" i="3990" s="1"/>
  <c r="G38" i="3990"/>
  <c r="I38" i="3990" s="1"/>
  <c r="G37" i="3990"/>
  <c r="I37" i="3990" s="1"/>
  <c r="H36" i="3990"/>
  <c r="H32" i="3990" s="1"/>
  <c r="G36" i="3990"/>
  <c r="G35" i="3990"/>
  <c r="I35" i="3990" s="1"/>
  <c r="G34" i="3990"/>
  <c r="I34" i="3990" s="1"/>
  <c r="G33" i="3990"/>
  <c r="I33" i="3990" s="1"/>
  <c r="F32" i="3990"/>
  <c r="E32" i="3990"/>
  <c r="C32" i="3990"/>
  <c r="G31" i="3990"/>
  <c r="I31" i="3990" s="1"/>
  <c r="G30" i="3990"/>
  <c r="I30" i="3990" s="1"/>
  <c r="G29" i="3990"/>
  <c r="I29" i="3990" s="1"/>
  <c r="G28" i="3990"/>
  <c r="I28" i="3990" s="1"/>
  <c r="G27" i="3990"/>
  <c r="I27" i="3990" s="1"/>
  <c r="H25" i="3990"/>
  <c r="F25" i="3990"/>
  <c r="E25" i="3990"/>
  <c r="D25" i="3990"/>
  <c r="D24" i="3990" s="1"/>
  <c r="C25" i="3990"/>
  <c r="G23" i="3990"/>
  <c r="I23" i="3990" s="1"/>
  <c r="G22" i="3990"/>
  <c r="I22" i="3990" s="1"/>
  <c r="G21" i="3990"/>
  <c r="I21" i="3990" s="1"/>
  <c r="G20" i="3990"/>
  <c r="I20" i="3990" s="1"/>
  <c r="H19" i="3990"/>
  <c r="G19" i="3990"/>
  <c r="I19" i="3990" s="1"/>
  <c r="H18" i="3990"/>
  <c r="H17" i="3990" s="1"/>
  <c r="H16" i="3990" s="1"/>
  <c r="G18" i="3990"/>
  <c r="I18" i="3990" s="1"/>
  <c r="F17" i="3990"/>
  <c r="F16" i="3990" s="1"/>
  <c r="E17" i="3990"/>
  <c r="E16" i="3990" s="1"/>
  <c r="D17" i="3990"/>
  <c r="D16" i="3990" s="1"/>
  <c r="C16" i="3990"/>
  <c r="G15" i="3990"/>
  <c r="I15" i="3990" s="1"/>
  <c r="G14" i="3990"/>
  <c r="I14" i="3990" s="1"/>
  <c r="G13" i="3990"/>
  <c r="I13" i="3990" s="1"/>
  <c r="G12" i="3990"/>
  <c r="I12" i="3990" s="1"/>
  <c r="I11" i="3990"/>
  <c r="H10" i="3990"/>
  <c r="H9" i="3990" s="1"/>
  <c r="F10" i="3990"/>
  <c r="E10" i="3990"/>
  <c r="E9" i="3990" s="1"/>
  <c r="D10" i="3990"/>
  <c r="D9" i="3990" s="1"/>
  <c r="C10" i="3990"/>
  <c r="C9" i="3990" s="1"/>
  <c r="F9" i="3990"/>
  <c r="G6" i="3990"/>
  <c r="I6" i="3990" s="1"/>
  <c r="C43" i="2"/>
  <c r="C42" i="2"/>
  <c r="C41" i="2"/>
  <c r="C40" i="2"/>
  <c r="C39" i="2"/>
  <c r="C38" i="2"/>
  <c r="C37" i="2"/>
  <c r="C36" i="2"/>
  <c r="C35" i="2"/>
  <c r="C34" i="2"/>
  <c r="C33" i="2"/>
  <c r="C32" i="2"/>
  <c r="C30" i="2"/>
  <c r="H28" i="2"/>
  <c r="G28" i="2"/>
  <c r="F28" i="2"/>
  <c r="E28" i="2"/>
  <c r="D28" i="2"/>
  <c r="H27" i="2"/>
  <c r="G27" i="2"/>
  <c r="F27" i="2"/>
  <c r="E27" i="2"/>
  <c r="D27" i="2"/>
  <c r="C27" i="2" s="1"/>
  <c r="D16" i="2"/>
  <c r="C16" i="2"/>
  <c r="C15" i="2"/>
  <c r="D15" i="2"/>
  <c r="C14" i="2"/>
  <c r="D14" i="2"/>
  <c r="D13" i="2"/>
  <c r="C13" i="2"/>
  <c r="D12" i="2"/>
  <c r="C12" i="2"/>
  <c r="D11" i="2"/>
  <c r="D10" i="2"/>
  <c r="C10" i="2"/>
  <c r="H8" i="2"/>
  <c r="G8" i="2"/>
  <c r="D6" i="2"/>
  <c r="C6" i="2"/>
  <c r="F22" i="3995" l="1"/>
  <c r="H24" i="3990"/>
  <c r="D40" i="3995"/>
  <c r="E22" i="3995"/>
  <c r="D22" i="3995"/>
  <c r="D6" i="3995" s="1"/>
  <c r="C8" i="2"/>
  <c r="C6" i="3995"/>
  <c r="C24" i="3990"/>
  <c r="C8" i="3990" s="1"/>
  <c r="F42" i="3990"/>
  <c r="G43" i="3990"/>
  <c r="D42" i="3990"/>
  <c r="E24" i="3990"/>
  <c r="I36" i="3990"/>
  <c r="G32" i="3990"/>
  <c r="G17" i="3990"/>
  <c r="G16" i="3990" s="1"/>
  <c r="G10" i="3990"/>
  <c r="C28" i="2"/>
  <c r="G18" i="2"/>
  <c r="D8" i="2"/>
  <c r="I10" i="3990"/>
  <c r="I9" i="3990" s="1"/>
  <c r="G25" i="3990"/>
  <c r="I25" i="3990" s="1"/>
  <c r="I26" i="3990"/>
  <c r="F24" i="3990"/>
  <c r="F8" i="3990" s="1"/>
  <c r="I43" i="3990"/>
  <c r="E42" i="3990"/>
  <c r="G50" i="3990"/>
  <c r="I50" i="3990" s="1"/>
  <c r="I51" i="3990"/>
  <c r="G8" i="3995"/>
  <c r="G7" i="3995" s="1"/>
  <c r="H8" i="3995"/>
  <c r="H7" i="3995" s="1"/>
  <c r="G23" i="3995"/>
  <c r="G30" i="3995"/>
  <c r="E40" i="3995"/>
  <c r="E6" i="3995" s="1"/>
  <c r="F40" i="3995"/>
  <c r="G44" i="3995"/>
  <c r="G40" i="3995" s="1"/>
  <c r="H44" i="3995"/>
  <c r="I44" i="3995" s="1"/>
  <c r="H48" i="3995"/>
  <c r="I48" i="3995" s="1"/>
  <c r="I15" i="3995"/>
  <c r="H14" i="3995"/>
  <c r="I14" i="3995" s="1"/>
  <c r="I41" i="3995"/>
  <c r="I42" i="3995"/>
  <c r="I46" i="3995"/>
  <c r="I50" i="3995"/>
  <c r="I16" i="3995"/>
  <c r="H23" i="3995"/>
  <c r="H30" i="3995"/>
  <c r="I30" i="3995" s="1"/>
  <c r="H42" i="3990"/>
  <c r="H8" i="3990" s="1"/>
  <c r="D8" i="3990"/>
  <c r="G46" i="3990"/>
  <c r="I46" i="3990" s="1"/>
  <c r="G9" i="3990"/>
  <c r="F6" i="3995" l="1"/>
  <c r="H40" i="3995"/>
  <c r="I40" i="3995" s="1"/>
  <c r="I8" i="3995"/>
  <c r="I17" i="3990"/>
  <c r="I16" i="3990" s="1"/>
  <c r="E8" i="3990"/>
  <c r="I32" i="3990"/>
  <c r="G24" i="3990"/>
  <c r="I24" i="3990" s="1"/>
  <c r="G22" i="3995"/>
  <c r="G6" i="3995" s="1"/>
  <c r="H22" i="3995"/>
  <c r="I22" i="3995" s="1"/>
  <c r="I23" i="3995"/>
  <c r="I7" i="3995"/>
  <c r="G42" i="3990"/>
  <c r="G8" i="3990" l="1"/>
  <c r="I8" i="3990" s="1"/>
  <c r="I42" i="3990"/>
  <c r="H6" i="3995"/>
  <c r="I6" i="3995" s="1"/>
  <c r="I8" i="2" l="1"/>
  <c r="J8" i="2"/>
  <c r="D89" i="3996" l="1"/>
  <c r="D90" i="3996" s="1"/>
  <c r="D91" i="3996" s="1"/>
  <c r="D92" i="3996" s="1"/>
  <c r="D93" i="3996" s="1"/>
  <c r="D95" i="3996"/>
  <c r="D96" i="3996" s="1"/>
  <c r="B54" i="3991"/>
  <c r="B53" i="3991"/>
  <c r="B52" i="3991"/>
  <c r="B51" i="3991"/>
  <c r="C50" i="3991"/>
  <c r="B50" i="3991"/>
  <c r="C49" i="3991"/>
  <c r="B49" i="3991"/>
  <c r="B48" i="3991"/>
  <c r="B47" i="3991"/>
  <c r="B46" i="3991"/>
  <c r="C8" i="3991"/>
  <c r="B8" i="3991"/>
  <c r="C7" i="3991"/>
  <c r="B7" i="3991"/>
  <c r="C6" i="3991"/>
  <c r="B6" i="3991"/>
  <c r="P8" i="2"/>
  <c r="O8" i="2"/>
  <c r="N8" i="2"/>
  <c r="M8" i="2"/>
  <c r="L8" i="2"/>
  <c r="K8" i="2"/>
</calcChain>
</file>

<file path=xl/sharedStrings.xml><?xml version="1.0" encoding="utf-8"?>
<sst xmlns="http://schemas.openxmlformats.org/spreadsheetml/2006/main" count="379" uniqueCount="262">
  <si>
    <t>第１表　地域森林計画による林道整備計画</t>
    <rPh sb="0" eb="1">
      <t>ダイ</t>
    </rPh>
    <rPh sb="2" eb="3">
      <t>ヒョウ</t>
    </rPh>
    <rPh sb="4" eb="6">
      <t>チイキ</t>
    </rPh>
    <rPh sb="6" eb="8">
      <t>シンリン</t>
    </rPh>
    <rPh sb="8" eb="10">
      <t>ケイカク</t>
    </rPh>
    <rPh sb="13" eb="15">
      <t>リンドウ</t>
    </rPh>
    <rPh sb="15" eb="17">
      <t>セイビ</t>
    </rPh>
    <rPh sb="17" eb="19">
      <t>ケイカク</t>
    </rPh>
    <phoneticPr fontId="1"/>
  </si>
  <si>
    <t>（単位：kｍ）</t>
    <rPh sb="1" eb="3">
      <t>タンイ</t>
    </rPh>
    <phoneticPr fontId="1"/>
  </si>
  <si>
    <t>森林計画区</t>
    <rPh sb="0" eb="2">
      <t>シンリン</t>
    </rPh>
    <rPh sb="2" eb="4">
      <t>ケイカク</t>
    </rPh>
    <rPh sb="4" eb="5">
      <t>ク</t>
    </rPh>
    <phoneticPr fontId="1"/>
  </si>
  <si>
    <t>事務所</t>
    <rPh sb="0" eb="3">
      <t>ジムショ</t>
    </rPh>
    <phoneticPr fontId="1"/>
  </si>
  <si>
    <t>計画期間</t>
    <rPh sb="0" eb="2">
      <t>ケイカク</t>
    </rPh>
    <rPh sb="2" eb="4">
      <t>キカン</t>
    </rPh>
    <phoneticPr fontId="1"/>
  </si>
  <si>
    <t>計画延長</t>
    <rPh sb="0" eb="2">
      <t>ケイカク</t>
    </rPh>
    <rPh sb="2" eb="4">
      <t>エンチョウ</t>
    </rPh>
    <phoneticPr fontId="1"/>
  </si>
  <si>
    <t>開設</t>
    <rPh sb="0" eb="2">
      <t>カイセツ</t>
    </rPh>
    <phoneticPr fontId="1"/>
  </si>
  <si>
    <t>拡張</t>
    <rPh sb="0" eb="2">
      <t>カクチョウ</t>
    </rPh>
    <phoneticPr fontId="1"/>
  </si>
  <si>
    <t>　　　利根上流</t>
    <rPh sb="3" eb="5">
      <t>トネ</t>
    </rPh>
    <rPh sb="5" eb="7">
      <t>ジョウリュウ</t>
    </rPh>
    <phoneticPr fontId="1"/>
  </si>
  <si>
    <t>利根沼田</t>
    <rPh sb="0" eb="1">
      <t>リ</t>
    </rPh>
    <rPh sb="1" eb="2">
      <t>ネ</t>
    </rPh>
    <rPh sb="2" eb="4">
      <t>ヌマタ</t>
    </rPh>
    <phoneticPr fontId="1"/>
  </si>
  <si>
    <t>R3.　4～R13　.3</t>
    <phoneticPr fontId="1"/>
  </si>
  <si>
    <t>　　　利根下流</t>
    <rPh sb="3" eb="5">
      <t>トネ</t>
    </rPh>
    <rPh sb="5" eb="7">
      <t>カリュウ</t>
    </rPh>
    <phoneticPr fontId="1"/>
  </si>
  <si>
    <t>渋　 川</t>
    <rPh sb="0" eb="1">
      <t>シブ</t>
    </rPh>
    <rPh sb="3" eb="4">
      <t>カワ</t>
    </rPh>
    <phoneticPr fontId="1"/>
  </si>
  <si>
    <t>R4.　4～R14　.3</t>
    <phoneticPr fontId="1"/>
  </si>
  <si>
    <t>桐　　生</t>
    <rPh sb="0" eb="1">
      <t>キリ</t>
    </rPh>
    <rPh sb="3" eb="4">
      <t>ショウ</t>
    </rPh>
    <phoneticPr fontId="1"/>
  </si>
  <si>
    <t>R4.　4～R14　.3</t>
  </si>
  <si>
    <t>吾　　妻</t>
    <rPh sb="0" eb="1">
      <t>ワレ</t>
    </rPh>
    <rPh sb="3" eb="4">
      <t>ツマ</t>
    </rPh>
    <phoneticPr fontId="1"/>
  </si>
  <si>
    <t>西　　毛</t>
    <rPh sb="0" eb="1">
      <t>ニシ</t>
    </rPh>
    <rPh sb="3" eb="4">
      <t>ケ</t>
    </rPh>
    <phoneticPr fontId="1"/>
  </si>
  <si>
    <t>西　　部</t>
    <rPh sb="0" eb="1">
      <t>ニシ</t>
    </rPh>
    <rPh sb="3" eb="4">
      <t>ブ</t>
    </rPh>
    <phoneticPr fontId="1"/>
  </si>
  <si>
    <t>R2.　4～R12　.3</t>
    <phoneticPr fontId="1"/>
  </si>
  <si>
    <t>藤　　岡</t>
    <rPh sb="0" eb="1">
      <t>フジ</t>
    </rPh>
    <rPh sb="3" eb="4">
      <t>オカ</t>
    </rPh>
    <phoneticPr fontId="1"/>
  </si>
  <si>
    <t>富　　岡</t>
    <rPh sb="0" eb="1">
      <t>トミ</t>
    </rPh>
    <rPh sb="3" eb="4">
      <t>オカ</t>
    </rPh>
    <phoneticPr fontId="1"/>
  </si>
  <si>
    <t>〔資料〕　林政課</t>
    <rPh sb="6" eb="7">
      <t>セイ</t>
    </rPh>
    <phoneticPr fontId="1"/>
  </si>
  <si>
    <t>累積数値</t>
    <rPh sb="0" eb="2">
      <t>ルイセキ</t>
    </rPh>
    <rPh sb="2" eb="4">
      <t>スウチ</t>
    </rPh>
    <phoneticPr fontId="1"/>
  </si>
  <si>
    <t>（単位：ｋｍ）</t>
    <rPh sb="1" eb="3">
      <t>タンイ</t>
    </rPh>
    <phoneticPr fontId="1"/>
  </si>
  <si>
    <t>年度</t>
    <rPh sb="0" eb="2">
      <t>ネンド</t>
    </rPh>
    <phoneticPr fontId="1"/>
  </si>
  <si>
    <t>開設累計</t>
    <rPh sb="0" eb="2">
      <t>カイセツ</t>
    </rPh>
    <rPh sb="2" eb="4">
      <t>ルイケイ</t>
    </rPh>
    <phoneticPr fontId="1"/>
  </si>
  <si>
    <t>現況延長</t>
    <rPh sb="0" eb="2">
      <t>ゲンキョウ</t>
    </rPh>
    <rPh sb="2" eb="4">
      <t>エンチョウ</t>
    </rPh>
    <phoneticPr fontId="1"/>
  </si>
  <si>
    <t>開設延長</t>
    <rPh sb="0" eb="2">
      <t>カイセツ</t>
    </rPh>
    <rPh sb="2" eb="4">
      <t>エンチョウ</t>
    </rPh>
    <phoneticPr fontId="1"/>
  </si>
  <si>
    <t>元</t>
    <rPh sb="0" eb="1">
      <t>ゲン</t>
    </rPh>
    <phoneticPr fontId="1"/>
  </si>
  <si>
    <t>R1</t>
    <phoneticPr fontId="1"/>
  </si>
  <si>
    <t>R2</t>
  </si>
  <si>
    <t>R3</t>
    <phoneticPr fontId="1"/>
  </si>
  <si>
    <t>第２表　民有林林道開設</t>
    <phoneticPr fontId="1"/>
  </si>
  <si>
    <t>（１）林道開設実績累計及び現況</t>
    <phoneticPr fontId="2"/>
  </si>
  <si>
    <t>（単位：ｍ）</t>
    <rPh sb="1" eb="3">
      <t>タンイ</t>
    </rPh>
    <phoneticPr fontId="1"/>
  </si>
  <si>
    <t>総　　　　　　数</t>
  </si>
  <si>
    <t>自　　動　　車　　道</t>
  </si>
  <si>
    <t>軽　　車　　道　</t>
  </si>
  <si>
    <t>牛　　馬　　道</t>
  </si>
  <si>
    <t>木　　馬　　道</t>
  </si>
  <si>
    <t>索　　　　　道</t>
  </si>
  <si>
    <t>軌　　　　道</t>
  </si>
  <si>
    <t>開設実績累計</t>
  </si>
  <si>
    <t>現        況</t>
    <phoneticPr fontId="1"/>
  </si>
  <si>
    <t>現       況</t>
    <phoneticPr fontId="1"/>
  </si>
  <si>
    <t>平成２７年度</t>
    <phoneticPr fontId="1"/>
  </si>
  <si>
    <t>令和２年度</t>
    <rPh sb="0" eb="2">
      <t>レイワ</t>
    </rPh>
    <rPh sb="3" eb="5">
      <t>ネンド</t>
    </rPh>
    <rPh sb="4" eb="5">
      <t>ド</t>
    </rPh>
    <phoneticPr fontId="1"/>
  </si>
  <si>
    <t>利根沼田</t>
    <rPh sb="0" eb="2">
      <t>トネ</t>
    </rPh>
    <rPh sb="2" eb="4">
      <t>ヌマタ</t>
    </rPh>
    <phoneticPr fontId="1"/>
  </si>
  <si>
    <t>吾妻</t>
    <rPh sb="0" eb="2">
      <t>アガツマ</t>
    </rPh>
    <phoneticPr fontId="1"/>
  </si>
  <si>
    <t>渋　川</t>
    <phoneticPr fontId="1"/>
  </si>
  <si>
    <t>桐　生</t>
    <rPh sb="0" eb="3">
      <t>キリュウ</t>
    </rPh>
    <phoneticPr fontId="1"/>
  </si>
  <si>
    <t>西　部</t>
    <rPh sb="0" eb="1">
      <t>ニシ</t>
    </rPh>
    <rPh sb="2" eb="3">
      <t>ブ</t>
    </rPh>
    <phoneticPr fontId="1"/>
  </si>
  <si>
    <t>藤　岡</t>
    <phoneticPr fontId="1"/>
  </si>
  <si>
    <t>富　岡</t>
    <phoneticPr fontId="1"/>
  </si>
  <si>
    <t>用途変更・新認定等による増減</t>
  </si>
  <si>
    <t>　       △…減</t>
    <rPh sb="10" eb="11">
      <t>ゲン</t>
    </rPh>
    <phoneticPr fontId="2"/>
  </si>
  <si>
    <t>（単位：ｍ）</t>
  </si>
  <si>
    <t>総　　数</t>
  </si>
  <si>
    <t>森林環境
保全整備</t>
    <rPh sb="0" eb="2">
      <t>シンリン</t>
    </rPh>
    <rPh sb="2" eb="4">
      <t>カンキョウ</t>
    </rPh>
    <rPh sb="5" eb="7">
      <t>ホゼン</t>
    </rPh>
    <rPh sb="7" eb="9">
      <t>セイビ</t>
    </rPh>
    <phoneticPr fontId="1"/>
  </si>
  <si>
    <t>森林居住
環境整備</t>
    <rPh sb="0" eb="2">
      <t>シンリン</t>
    </rPh>
    <rPh sb="2" eb="4">
      <t>キョジュウ</t>
    </rPh>
    <rPh sb="5" eb="7">
      <t>カンキョウ</t>
    </rPh>
    <rPh sb="7" eb="9">
      <t>セイビ</t>
    </rPh>
    <phoneticPr fontId="1"/>
  </si>
  <si>
    <t>地方創生道整備推進交付金</t>
    <rPh sb="0" eb="2">
      <t>チホウ</t>
    </rPh>
    <rPh sb="2" eb="4">
      <t>ソウセイ</t>
    </rPh>
    <rPh sb="4" eb="5">
      <t>ミチ</t>
    </rPh>
    <rPh sb="5" eb="7">
      <t>セイビ</t>
    </rPh>
    <rPh sb="7" eb="9">
      <t>スイシン</t>
    </rPh>
    <rPh sb="9" eb="12">
      <t>コウフキン</t>
    </rPh>
    <phoneticPr fontId="1"/>
  </si>
  <si>
    <t>農山漁村地域
整備交付金</t>
    <rPh sb="0" eb="4">
      <t>ノウサンギョソン</t>
    </rPh>
    <rPh sb="4" eb="6">
      <t>チイキ</t>
    </rPh>
    <rPh sb="7" eb="9">
      <t>セイビ</t>
    </rPh>
    <rPh sb="9" eb="12">
      <t>コウフキン</t>
    </rPh>
    <phoneticPr fontId="1"/>
  </si>
  <si>
    <t>県単開設</t>
  </si>
  <si>
    <t>総　　　数</t>
    <rPh sb="0" eb="5">
      <t>ソウスウ</t>
    </rPh>
    <phoneticPr fontId="1"/>
  </si>
  <si>
    <t>－</t>
    <phoneticPr fontId="1"/>
  </si>
  <si>
    <t>　　　　（　）書きは改築延長で開設実績の内数。</t>
    <rPh sb="7" eb="8">
      <t>カ</t>
    </rPh>
    <rPh sb="10" eb="12">
      <t>カイチク</t>
    </rPh>
    <rPh sb="12" eb="14">
      <t>エンチョウ</t>
    </rPh>
    <rPh sb="15" eb="17">
      <t>カイセツ</t>
    </rPh>
    <rPh sb="17" eb="19">
      <t>ジッセキ</t>
    </rPh>
    <rPh sb="20" eb="22">
      <t>ウチスウ</t>
    </rPh>
    <phoneticPr fontId="1"/>
  </si>
  <si>
    <t>第３表　民有林林道（市町村別）</t>
    <phoneticPr fontId="1"/>
  </si>
  <si>
    <t>市　町　村</t>
  </si>
  <si>
    <t>森林面積(ha)</t>
    <phoneticPr fontId="1"/>
  </si>
  <si>
    <t>前年度末　　　総延長</t>
    <phoneticPr fontId="1"/>
  </si>
  <si>
    <t>当　　　該　　　年　　　度</t>
  </si>
  <si>
    <t>実績延長</t>
    <rPh sb="0" eb="2">
      <t>ジッセキ</t>
    </rPh>
    <phoneticPr fontId="1"/>
  </si>
  <si>
    <t>用途変更　　　その他</t>
    <phoneticPr fontId="1"/>
  </si>
  <si>
    <t>現況総延長</t>
  </si>
  <si>
    <t>路　線　数</t>
  </si>
  <si>
    <t>密度(ｍ/ha)</t>
    <phoneticPr fontId="1"/>
  </si>
  <si>
    <t>令和２年度</t>
    <rPh sb="0" eb="2">
      <t>レイワ</t>
    </rPh>
    <phoneticPr fontId="1"/>
  </si>
  <si>
    <t>利根上流森林計画区</t>
    <rPh sb="0" eb="2">
      <t>トネ</t>
    </rPh>
    <rPh sb="2" eb="4">
      <t>ジョウリュウ</t>
    </rPh>
    <rPh sb="4" eb="6">
      <t>シンリン</t>
    </rPh>
    <rPh sb="6" eb="8">
      <t>ケイカク</t>
    </rPh>
    <rPh sb="8" eb="9">
      <t>ク</t>
    </rPh>
    <phoneticPr fontId="1"/>
  </si>
  <si>
    <t>利根沼田環境森林事務所</t>
    <rPh sb="0" eb="2">
      <t>トネ</t>
    </rPh>
    <rPh sb="2" eb="4">
      <t>ヌマタ</t>
    </rPh>
    <rPh sb="4" eb="6">
      <t>カンキョウ</t>
    </rPh>
    <rPh sb="6" eb="8">
      <t>シンリン</t>
    </rPh>
    <rPh sb="8" eb="11">
      <t>ジムショ</t>
    </rPh>
    <phoneticPr fontId="1"/>
  </si>
  <si>
    <t>沼田市</t>
  </si>
  <si>
    <t>片品村</t>
  </si>
  <si>
    <t>川場村</t>
  </si>
  <si>
    <t>昭和村</t>
  </si>
  <si>
    <t>みなかみ町</t>
    <rPh sb="4" eb="5">
      <t>マチ</t>
    </rPh>
    <phoneticPr fontId="1"/>
  </si>
  <si>
    <t>吾妻森林計画区</t>
    <phoneticPr fontId="1"/>
  </si>
  <si>
    <t>吾妻環境森林事務所</t>
    <rPh sb="0" eb="2">
      <t>アガツマ</t>
    </rPh>
    <rPh sb="2" eb="4">
      <t>カンキョウ</t>
    </rPh>
    <rPh sb="4" eb="6">
      <t>シンリン</t>
    </rPh>
    <rPh sb="6" eb="9">
      <t>ジムショ</t>
    </rPh>
    <phoneticPr fontId="1"/>
  </si>
  <si>
    <t>中之条町</t>
  </si>
  <si>
    <t>長野原町</t>
  </si>
  <si>
    <t>嬬恋村</t>
  </si>
  <si>
    <t>草津町</t>
  </si>
  <si>
    <t>高山村</t>
  </si>
  <si>
    <t>東吾妻町</t>
    <rPh sb="0" eb="1">
      <t>ヒガシ</t>
    </rPh>
    <phoneticPr fontId="1"/>
  </si>
  <si>
    <t>利根下流森林計画区</t>
    <rPh sb="0" eb="2">
      <t>トネ</t>
    </rPh>
    <rPh sb="2" eb="4">
      <t>カリュウ</t>
    </rPh>
    <phoneticPr fontId="1"/>
  </si>
  <si>
    <t>渋川森林事務所</t>
    <rPh sb="0" eb="2">
      <t>シブカワ</t>
    </rPh>
    <rPh sb="2" eb="4">
      <t>シンリン</t>
    </rPh>
    <rPh sb="4" eb="7">
      <t>ジムショ</t>
    </rPh>
    <phoneticPr fontId="1"/>
  </si>
  <si>
    <t>前橋市</t>
  </si>
  <si>
    <t>伊勢崎市</t>
  </si>
  <si>
    <t>渋川市</t>
  </si>
  <si>
    <t>榛東村</t>
  </si>
  <si>
    <t>吉岡町</t>
  </si>
  <si>
    <t>玉村町</t>
  </si>
  <si>
    <t>桐生森林事務所</t>
    <rPh sb="0" eb="2">
      <t>キリュウ</t>
    </rPh>
    <rPh sb="2" eb="4">
      <t>シンリン</t>
    </rPh>
    <rPh sb="4" eb="7">
      <t>ジムショ</t>
    </rPh>
    <phoneticPr fontId="1"/>
  </si>
  <si>
    <t>桐生市</t>
  </si>
  <si>
    <t>太田市</t>
  </si>
  <si>
    <t>館林市</t>
  </si>
  <si>
    <t>みどり市</t>
    <rPh sb="3" eb="4">
      <t>シ</t>
    </rPh>
    <phoneticPr fontId="1"/>
  </si>
  <si>
    <t>板倉町</t>
    <rPh sb="0" eb="1">
      <t>イタ</t>
    </rPh>
    <phoneticPr fontId="4"/>
  </si>
  <si>
    <t>明和町</t>
    <rPh sb="2" eb="3">
      <t>マチ</t>
    </rPh>
    <phoneticPr fontId="1"/>
  </si>
  <si>
    <t>千代田町</t>
  </si>
  <si>
    <t>大泉町</t>
  </si>
  <si>
    <t>邑楽町</t>
  </si>
  <si>
    <t>西毛森林計画区</t>
    <rPh sb="0" eb="1">
      <t>セイ</t>
    </rPh>
    <rPh sb="1" eb="2">
      <t>モウ</t>
    </rPh>
    <phoneticPr fontId="1"/>
  </si>
  <si>
    <t>西部環境森林事務所</t>
    <rPh sb="0" eb="2">
      <t>セイブ</t>
    </rPh>
    <rPh sb="2" eb="4">
      <t>カンキョウ</t>
    </rPh>
    <rPh sb="4" eb="6">
      <t>シンリン</t>
    </rPh>
    <rPh sb="6" eb="9">
      <t>ジムショ</t>
    </rPh>
    <phoneticPr fontId="1"/>
  </si>
  <si>
    <t>高崎市</t>
  </si>
  <si>
    <t>安中市</t>
  </si>
  <si>
    <t>藤岡森林事務所</t>
    <rPh sb="2" eb="4">
      <t>シンリン</t>
    </rPh>
    <rPh sb="4" eb="7">
      <t>ジムショ</t>
    </rPh>
    <phoneticPr fontId="1"/>
  </si>
  <si>
    <t>藤岡市</t>
  </si>
  <si>
    <t>上野村</t>
  </si>
  <si>
    <t>神流町</t>
  </si>
  <si>
    <t>富岡森林事務所</t>
    <rPh sb="2" eb="4">
      <t>シンリン</t>
    </rPh>
    <rPh sb="4" eb="7">
      <t>ジムショ</t>
    </rPh>
    <phoneticPr fontId="1"/>
  </si>
  <si>
    <t>富岡市</t>
  </si>
  <si>
    <t>下仁田町</t>
  </si>
  <si>
    <t>南牧村</t>
  </si>
  <si>
    <t>甘楽町</t>
  </si>
  <si>
    <t>〔資料〕林政課</t>
    <rPh sb="5" eb="6">
      <t>セイ</t>
    </rPh>
    <phoneticPr fontId="1"/>
  </si>
  <si>
    <t>（注）　１.▲………減</t>
    <rPh sb="1" eb="2">
      <t>チュウ</t>
    </rPh>
    <phoneticPr fontId="1"/>
  </si>
  <si>
    <t>　　　　２．路線が多市町村にわたる場合、起点側の市町村に計上した。</t>
    <rPh sb="6" eb="8">
      <t>ロセン</t>
    </rPh>
    <rPh sb="9" eb="10">
      <t>タ</t>
    </rPh>
    <rPh sb="10" eb="13">
      <t>シチョウソン</t>
    </rPh>
    <rPh sb="17" eb="19">
      <t>バアイ</t>
    </rPh>
    <rPh sb="20" eb="22">
      <t>キテン</t>
    </rPh>
    <rPh sb="22" eb="23">
      <t>ガワ</t>
    </rPh>
    <rPh sb="24" eb="27">
      <t>シチョウソン</t>
    </rPh>
    <rPh sb="28" eb="30">
      <t>ケイジョウ</t>
    </rPh>
    <phoneticPr fontId="4"/>
  </si>
  <si>
    <t>第４表　林道改良・舗装等事業</t>
    <rPh sb="0" eb="1">
      <t>ダイ</t>
    </rPh>
    <rPh sb="2" eb="3">
      <t>ヒョウ</t>
    </rPh>
    <rPh sb="4" eb="6">
      <t>リンドウ</t>
    </rPh>
    <rPh sb="6" eb="8">
      <t>カイリョウ</t>
    </rPh>
    <rPh sb="9" eb="11">
      <t>ホソウ</t>
    </rPh>
    <rPh sb="11" eb="12">
      <t>トウ</t>
    </rPh>
    <rPh sb="12" eb="14">
      <t>ジギョウ</t>
    </rPh>
    <phoneticPr fontId="1"/>
  </si>
  <si>
    <t>（１）改良事業等</t>
    <rPh sb="3" eb="5">
      <t>カイリョウ</t>
    </rPh>
    <rPh sb="5" eb="7">
      <t>ジギョウ</t>
    </rPh>
    <rPh sb="7" eb="8">
      <t>トウ</t>
    </rPh>
    <phoneticPr fontId="1"/>
  </si>
  <si>
    <t>年　　度</t>
    <rPh sb="0" eb="4">
      <t>ネンド</t>
    </rPh>
    <phoneticPr fontId="1"/>
  </si>
  <si>
    <t>総　　　　　　数</t>
    <rPh sb="0" eb="8">
      <t>ソウスウ</t>
    </rPh>
    <phoneticPr fontId="1"/>
  </si>
  <si>
    <t>公共改良</t>
    <rPh sb="0" eb="2">
      <t>コウキョウ</t>
    </rPh>
    <rPh sb="2" eb="4">
      <t>カイリョウジギョウ</t>
    </rPh>
    <phoneticPr fontId="1"/>
  </si>
  <si>
    <t>県単林道</t>
    <rPh sb="0" eb="2">
      <t>ケンタン</t>
    </rPh>
    <rPh sb="2" eb="4">
      <t>リンドウ</t>
    </rPh>
    <phoneticPr fontId="1"/>
  </si>
  <si>
    <t>林道応急</t>
    <rPh sb="0" eb="2">
      <t>リンドウ</t>
    </rPh>
    <rPh sb="2" eb="4">
      <t>オウキュウ</t>
    </rPh>
    <phoneticPr fontId="1"/>
  </si>
  <si>
    <t>自力・その他</t>
    <rPh sb="0" eb="2">
      <t>ジリキ</t>
    </rPh>
    <rPh sb="3" eb="6">
      <t>ソノタ</t>
    </rPh>
    <phoneticPr fontId="1"/>
  </si>
  <si>
    <t>改良事業</t>
    <rPh sb="0" eb="4">
      <t>カイリョウジギョウ</t>
    </rPh>
    <phoneticPr fontId="1"/>
  </si>
  <si>
    <t>施設事業</t>
    <rPh sb="0" eb="2">
      <t>シセツ</t>
    </rPh>
    <rPh sb="2" eb="4">
      <t>ジギョウ</t>
    </rPh>
    <phoneticPr fontId="1"/>
  </si>
  <si>
    <t>昭和６０年度</t>
    <rPh sb="0" eb="2">
      <t>ショウワ</t>
    </rPh>
    <rPh sb="4" eb="6">
      <t>ネンド</t>
    </rPh>
    <phoneticPr fontId="1"/>
  </si>
  <si>
    <t>平成６年度</t>
    <phoneticPr fontId="1"/>
  </si>
  <si>
    <t>(-)</t>
    <phoneticPr fontId="1"/>
  </si>
  <si>
    <t>-</t>
  </si>
  <si>
    <t>平成７年度</t>
    <phoneticPr fontId="1"/>
  </si>
  <si>
    <t>(-)</t>
  </si>
  <si>
    <t>平成８年度</t>
  </si>
  <si>
    <t>平成１０年度</t>
    <rPh sb="0" eb="2">
      <t>ヘイセイ</t>
    </rPh>
    <rPh sb="4" eb="6">
      <t>ネンド</t>
    </rPh>
    <phoneticPr fontId="1"/>
  </si>
  <si>
    <t>平成１１年度</t>
    <rPh sb="0" eb="2">
      <t>ヘイセイ</t>
    </rPh>
    <rPh sb="4" eb="6">
      <t>ネンド</t>
    </rPh>
    <phoneticPr fontId="1"/>
  </si>
  <si>
    <t>平成１２年度</t>
    <phoneticPr fontId="1"/>
  </si>
  <si>
    <t>平成１４年度</t>
    <phoneticPr fontId="1"/>
  </si>
  <si>
    <t>平成１５年度</t>
    <phoneticPr fontId="1"/>
  </si>
  <si>
    <t>平成１６年度</t>
    <phoneticPr fontId="1"/>
  </si>
  <si>
    <t>平成１７年度</t>
    <phoneticPr fontId="1"/>
  </si>
  <si>
    <t>平成１８年度</t>
    <phoneticPr fontId="1"/>
  </si>
  <si>
    <t>平成１９年度</t>
    <phoneticPr fontId="1"/>
  </si>
  <si>
    <t>平成２０年度</t>
    <phoneticPr fontId="1"/>
  </si>
  <si>
    <t>平成２１年度</t>
    <phoneticPr fontId="1"/>
  </si>
  <si>
    <t>平成２２年度</t>
    <phoneticPr fontId="1"/>
  </si>
  <si>
    <t>平成２３年度</t>
    <phoneticPr fontId="1"/>
  </si>
  <si>
    <t>平成２４年度</t>
    <phoneticPr fontId="1"/>
  </si>
  <si>
    <t>平成２５年度</t>
    <phoneticPr fontId="1"/>
  </si>
  <si>
    <t>平成２６年度</t>
    <phoneticPr fontId="1"/>
  </si>
  <si>
    <t>平成２８年度</t>
    <phoneticPr fontId="1"/>
  </si>
  <si>
    <t>平成２９年度</t>
    <phoneticPr fontId="1"/>
  </si>
  <si>
    <t>平成３０年度</t>
    <phoneticPr fontId="1"/>
  </si>
  <si>
    <t>令和元年度</t>
    <rPh sb="0" eb="3">
      <t>レイワガン</t>
    </rPh>
    <phoneticPr fontId="1"/>
  </si>
  <si>
    <t>令和２年度</t>
    <rPh sb="0" eb="2">
      <t>レイワ</t>
    </rPh>
    <rPh sb="3" eb="5">
      <t>ネンド</t>
    </rPh>
    <phoneticPr fontId="1"/>
  </si>
  <si>
    <t>令和３年度</t>
    <rPh sb="0" eb="2">
      <t>レイワ</t>
    </rPh>
    <rPh sb="3" eb="5">
      <t>ネンド</t>
    </rPh>
    <phoneticPr fontId="1"/>
  </si>
  <si>
    <t>〔資料〕　林政課</t>
    <rPh sb="1" eb="3">
      <t>シリョウ</t>
    </rPh>
    <rPh sb="5" eb="7">
      <t>リンセイ</t>
    </rPh>
    <rPh sb="7" eb="8">
      <t>カ</t>
    </rPh>
    <phoneticPr fontId="1"/>
  </si>
  <si>
    <t>　（注）　１　（　）内は路線数</t>
    <rPh sb="2" eb="3">
      <t>チュウ</t>
    </rPh>
    <rPh sb="10" eb="11">
      <t>ナイ</t>
    </rPh>
    <rPh sb="12" eb="15">
      <t>ロセンスウ</t>
    </rPh>
    <phoneticPr fontId="1"/>
  </si>
  <si>
    <t>　　　　　２　県単林道改良にはふるさと林道、災害関連分を、林道応急施設事業には災害関連も含む。</t>
    <rPh sb="7" eb="9">
      <t>ケンタン</t>
    </rPh>
    <rPh sb="9" eb="11">
      <t>リンドウ</t>
    </rPh>
    <rPh sb="11" eb="13">
      <t>カイリョウ</t>
    </rPh>
    <rPh sb="19" eb="21">
      <t>リンドウ</t>
    </rPh>
    <rPh sb="22" eb="24">
      <t>サイガイ</t>
    </rPh>
    <rPh sb="24" eb="26">
      <t>カンレン</t>
    </rPh>
    <rPh sb="26" eb="27">
      <t>ブン</t>
    </rPh>
    <rPh sb="29" eb="31">
      <t>リンドウ</t>
    </rPh>
    <rPh sb="31" eb="33">
      <t>オウキュウ</t>
    </rPh>
    <rPh sb="33" eb="35">
      <t>シセツ</t>
    </rPh>
    <rPh sb="35" eb="37">
      <t>ジギョウ</t>
    </rPh>
    <rPh sb="39" eb="41">
      <t>サイガイ</t>
    </rPh>
    <rPh sb="41" eb="43">
      <t>カンレン</t>
    </rPh>
    <rPh sb="44" eb="45">
      <t>フク</t>
    </rPh>
    <phoneticPr fontId="1"/>
  </si>
  <si>
    <t>　　　　　３　林構は自力・その他に含む。</t>
    <rPh sb="7" eb="9">
      <t>リンコウ</t>
    </rPh>
    <rPh sb="10" eb="12">
      <t>ジリキ</t>
    </rPh>
    <rPh sb="13" eb="16">
      <t>ソノタ</t>
    </rPh>
    <rPh sb="17" eb="18">
      <t>フク</t>
    </rPh>
    <phoneticPr fontId="1"/>
  </si>
  <si>
    <t>　　　　　４　間伐等は自力・その他に含む。</t>
    <phoneticPr fontId="1"/>
  </si>
  <si>
    <t>（２）舗装事業</t>
    <rPh sb="3" eb="5">
      <t>ホソウ</t>
    </rPh>
    <rPh sb="5" eb="7">
      <t>ジギョウ</t>
    </rPh>
    <phoneticPr fontId="1"/>
  </si>
  <si>
    <t>公共舗装</t>
    <rPh sb="0" eb="2">
      <t>コウキョウ</t>
    </rPh>
    <rPh sb="2" eb="4">
      <t>ホソウ</t>
    </rPh>
    <phoneticPr fontId="1"/>
  </si>
  <si>
    <t>農免舗装</t>
    <rPh sb="0" eb="2">
      <t>ノウメン</t>
    </rPh>
    <rPh sb="2" eb="4">
      <t>ホソウ</t>
    </rPh>
    <phoneticPr fontId="1"/>
  </si>
  <si>
    <t>林業構造</t>
    <rPh sb="0" eb="2">
      <t>リンギョウ</t>
    </rPh>
    <rPh sb="2" eb="4">
      <t>コウゾウ</t>
    </rPh>
    <phoneticPr fontId="1"/>
  </si>
  <si>
    <t>林総事業</t>
    <rPh sb="0" eb="2">
      <t>リンソウ</t>
    </rPh>
    <rPh sb="2" eb="4">
      <t>ジギョウ</t>
    </rPh>
    <phoneticPr fontId="1"/>
  </si>
  <si>
    <t>（同時舗装）</t>
    <rPh sb="1" eb="3">
      <t>ドウジ</t>
    </rPh>
    <rPh sb="3" eb="5">
      <t>ホソウ</t>
    </rPh>
    <phoneticPr fontId="1"/>
  </si>
  <si>
    <t>改善事業</t>
    <rPh sb="0" eb="2">
      <t>カイゼン</t>
    </rPh>
    <rPh sb="2" eb="4">
      <t>ジギョウ</t>
    </rPh>
    <phoneticPr fontId="1"/>
  </si>
  <si>
    <t>舗装事業</t>
    <rPh sb="0" eb="2">
      <t>ホソウ</t>
    </rPh>
    <rPh sb="2" eb="4">
      <t>ジギョウ</t>
    </rPh>
    <phoneticPr fontId="1"/>
  </si>
  <si>
    <t>平成６年度</t>
  </si>
  <si>
    <t>平成７年度</t>
  </si>
  <si>
    <t>平成９年度</t>
    <rPh sb="0" eb="2">
      <t>ヘイセイ</t>
    </rPh>
    <rPh sb="3" eb="5">
      <t>ネンド</t>
    </rPh>
    <phoneticPr fontId="1"/>
  </si>
  <si>
    <t>平成１１年度</t>
  </si>
  <si>
    <t>平成１２年度</t>
  </si>
  <si>
    <t>平成１４年度</t>
  </si>
  <si>
    <t>平成１５年度</t>
  </si>
  <si>
    <t>平成１６年度</t>
  </si>
  <si>
    <t>平成１７年度</t>
  </si>
  <si>
    <t>平成１８年度</t>
  </si>
  <si>
    <t>平成１９年度</t>
  </si>
  <si>
    <t>平成２０年度</t>
  </si>
  <si>
    <t>平成２１年度</t>
  </si>
  <si>
    <t>平成２２年度</t>
  </si>
  <si>
    <t>平成２３年度</t>
  </si>
  <si>
    <t>平成２４年度</t>
  </si>
  <si>
    <t>平成２５年度</t>
  </si>
  <si>
    <t>平成２６年度</t>
  </si>
  <si>
    <t>平成２７年度</t>
  </si>
  <si>
    <t>平成２８年度</t>
  </si>
  <si>
    <t>平成２９年度</t>
  </si>
  <si>
    <t>令和元年度</t>
    <rPh sb="0" eb="3">
      <t>レイワガン</t>
    </rPh>
    <rPh sb="3" eb="5">
      <t>ネンド</t>
    </rPh>
    <phoneticPr fontId="1"/>
  </si>
  <si>
    <t>　　　　　２　県単林道舗装事業にはふるさと林道分を含む。</t>
    <rPh sb="7" eb="9">
      <t>ケンタン</t>
    </rPh>
    <rPh sb="9" eb="11">
      <t>リンドウ</t>
    </rPh>
    <rPh sb="11" eb="13">
      <t>ホソウ</t>
    </rPh>
    <rPh sb="13" eb="15">
      <t>ジギョウ</t>
    </rPh>
    <rPh sb="21" eb="23">
      <t>リンドウ</t>
    </rPh>
    <rPh sb="23" eb="24">
      <t>ブン</t>
    </rPh>
    <rPh sb="25" eb="26">
      <t>フク</t>
    </rPh>
    <phoneticPr fontId="1"/>
  </si>
  <si>
    <t>　　　　　３　間伐等は自力・その他に含む。</t>
    <rPh sb="7" eb="10">
      <t>カンバツトウ</t>
    </rPh>
    <rPh sb="11" eb="13">
      <t>ジリキ</t>
    </rPh>
    <rPh sb="16" eb="17">
      <t>タ</t>
    </rPh>
    <rPh sb="18" eb="19">
      <t>フク</t>
    </rPh>
    <phoneticPr fontId="1"/>
  </si>
  <si>
    <t>第５表　作業道（市町村別）</t>
    <rPh sb="0" eb="1">
      <t>ダイ</t>
    </rPh>
    <rPh sb="2" eb="3">
      <t>ヒョウ</t>
    </rPh>
    <phoneticPr fontId="1"/>
  </si>
  <si>
    <t>(単位：ｍ）</t>
  </si>
  <si>
    <t>路線数</t>
  </si>
  <si>
    <t>開設延長</t>
  </si>
  <si>
    <t>密度m/ha</t>
    <phoneticPr fontId="1"/>
  </si>
  <si>
    <t>合　　　計</t>
    <rPh sb="0" eb="5">
      <t>ゴウケイ</t>
    </rPh>
    <phoneticPr fontId="1"/>
  </si>
  <si>
    <t>利根上流森林計画区</t>
    <rPh sb="0" eb="2">
      <t>トネ</t>
    </rPh>
    <rPh sb="2" eb="4">
      <t>ジョウリュウ</t>
    </rPh>
    <phoneticPr fontId="1"/>
  </si>
  <si>
    <t>沼田市</t>
    <phoneticPr fontId="1"/>
  </si>
  <si>
    <t>片品村</t>
    <phoneticPr fontId="1"/>
  </si>
  <si>
    <t>川場村</t>
    <phoneticPr fontId="1"/>
  </si>
  <si>
    <t>昭和村</t>
    <phoneticPr fontId="1"/>
  </si>
  <si>
    <t>みなかみ町</t>
    <phoneticPr fontId="1"/>
  </si>
  <si>
    <t>吾妻森林計画区</t>
    <rPh sb="0" eb="1">
      <t>ワレ</t>
    </rPh>
    <rPh sb="1" eb="2">
      <t>ツマ</t>
    </rPh>
    <phoneticPr fontId="1"/>
  </si>
  <si>
    <t>中之条町</t>
    <phoneticPr fontId="1"/>
  </si>
  <si>
    <t>長野原町</t>
    <phoneticPr fontId="1"/>
  </si>
  <si>
    <t>嬬恋村</t>
    <phoneticPr fontId="1"/>
  </si>
  <si>
    <t>草津町</t>
    <phoneticPr fontId="1"/>
  </si>
  <si>
    <t>高山村</t>
    <phoneticPr fontId="1"/>
  </si>
  <si>
    <t>渋川森林事務所</t>
    <rPh sb="2" eb="4">
      <t>シンリン</t>
    </rPh>
    <rPh sb="4" eb="7">
      <t>ジムショ</t>
    </rPh>
    <phoneticPr fontId="1"/>
  </si>
  <si>
    <t>前橋市</t>
    <phoneticPr fontId="1"/>
  </si>
  <si>
    <t>伊勢崎市</t>
    <rPh sb="0" eb="3">
      <t>イセサキ</t>
    </rPh>
    <phoneticPr fontId="1"/>
  </si>
  <si>
    <t>渋川市</t>
    <phoneticPr fontId="1"/>
  </si>
  <si>
    <t>榛東村</t>
    <phoneticPr fontId="1"/>
  </si>
  <si>
    <t>吉岡町</t>
    <phoneticPr fontId="1"/>
  </si>
  <si>
    <t>玉村町</t>
    <rPh sb="0" eb="2">
      <t>タマムラ</t>
    </rPh>
    <rPh sb="2" eb="3">
      <t>マチ</t>
    </rPh>
    <phoneticPr fontId="1"/>
  </si>
  <si>
    <t>桐生森林事務所</t>
    <rPh sb="2" eb="4">
      <t>シンリン</t>
    </rPh>
    <rPh sb="4" eb="7">
      <t>ジムショ</t>
    </rPh>
    <phoneticPr fontId="1"/>
  </si>
  <si>
    <t>桐生市</t>
    <phoneticPr fontId="1"/>
  </si>
  <si>
    <t>太田市</t>
    <phoneticPr fontId="1"/>
  </si>
  <si>
    <t>館林市</t>
    <phoneticPr fontId="1"/>
  </si>
  <si>
    <t>板倉町</t>
    <phoneticPr fontId="1"/>
  </si>
  <si>
    <t>千代田町</t>
    <phoneticPr fontId="1"/>
  </si>
  <si>
    <t>大泉町</t>
    <phoneticPr fontId="1"/>
  </si>
  <si>
    <t>邑楽町</t>
    <phoneticPr fontId="1"/>
  </si>
  <si>
    <t>西毛森林計画区</t>
    <rPh sb="0" eb="1">
      <t>ニシ</t>
    </rPh>
    <rPh sb="1" eb="2">
      <t>ケ</t>
    </rPh>
    <phoneticPr fontId="1"/>
  </si>
  <si>
    <t>高崎市</t>
    <phoneticPr fontId="1"/>
  </si>
  <si>
    <t>安中市</t>
    <phoneticPr fontId="1"/>
  </si>
  <si>
    <t>藤岡市</t>
    <phoneticPr fontId="1"/>
  </si>
  <si>
    <t>上野村</t>
    <phoneticPr fontId="1"/>
  </si>
  <si>
    <t>神流町</t>
    <rPh sb="0" eb="2">
      <t>カンナ</t>
    </rPh>
    <rPh sb="2" eb="3">
      <t>マチ</t>
    </rPh>
    <phoneticPr fontId="1"/>
  </si>
  <si>
    <t>富岡市</t>
    <phoneticPr fontId="1"/>
  </si>
  <si>
    <t>下仁田町</t>
    <phoneticPr fontId="1"/>
  </si>
  <si>
    <t>南牧村</t>
    <phoneticPr fontId="1"/>
  </si>
  <si>
    <t>甘楽町</t>
    <phoneticPr fontId="1"/>
  </si>
  <si>
    <t>〔資料〕林政課</t>
    <rPh sb="4" eb="7">
      <t>リンセイカ</t>
    </rPh>
    <phoneticPr fontId="1"/>
  </si>
  <si>
    <t>　（注）路線数の（　）内は継続路線で外数である。</t>
    <rPh sb="4" eb="7">
      <t>ロセンスウ</t>
    </rPh>
    <phoneticPr fontId="1"/>
  </si>
  <si>
    <t>　　　　令和3年度末の開設累計は昭和47年度からの開設累計であり、現地とは異なる場合がある。</t>
    <rPh sb="4" eb="6">
      <t>レイワ</t>
    </rPh>
    <rPh sb="7" eb="10">
      <t>ネンドマツ</t>
    </rPh>
    <rPh sb="11" eb="13">
      <t>カイセツ</t>
    </rPh>
    <rPh sb="13" eb="15">
      <t>ルイケイ</t>
    </rPh>
    <rPh sb="16" eb="18">
      <t>ショウワ</t>
    </rPh>
    <rPh sb="20" eb="22">
      <t>ネンド</t>
    </rPh>
    <rPh sb="25" eb="27">
      <t>カイセツ</t>
    </rPh>
    <rPh sb="27" eb="29">
      <t>ルイケイ</t>
    </rPh>
    <rPh sb="33" eb="35">
      <t>ゲンチ</t>
    </rPh>
    <rPh sb="37" eb="38">
      <t>コト</t>
    </rPh>
    <rPh sb="40" eb="42">
      <t>バアイ</t>
    </rPh>
    <phoneticPr fontId="1"/>
  </si>
  <si>
    <t>R5.　4～R15　.3</t>
    <phoneticPr fontId="1"/>
  </si>
  <si>
    <t>R4</t>
    <phoneticPr fontId="1"/>
  </si>
  <si>
    <t>平成３０年度</t>
  </si>
  <si>
    <t>令和４年度</t>
    <rPh sb="0" eb="2">
      <t>レイワ</t>
    </rPh>
    <rPh sb="3" eb="5">
      <t>ネンド</t>
    </rPh>
    <rPh sb="4" eb="5">
      <t>ド</t>
    </rPh>
    <phoneticPr fontId="1"/>
  </si>
  <si>
    <t xml:space="preserve">    (注) 実績は令和５年度への繰り越しを含まない。</t>
    <rPh sb="11" eb="13">
      <t>レイワ</t>
    </rPh>
    <rPh sb="14" eb="16">
      <t>ネンド</t>
    </rPh>
    <phoneticPr fontId="2"/>
  </si>
  <si>
    <t>（２）令和４年度林道開設実績</t>
    <rPh sb="3" eb="5">
      <t>レイワ</t>
    </rPh>
    <rPh sb="6" eb="8">
      <t>ネンド</t>
    </rPh>
    <phoneticPr fontId="2"/>
  </si>
  <si>
    <t>令和４年度</t>
    <rPh sb="0" eb="2">
      <t>レイワ</t>
    </rPh>
    <phoneticPr fontId="1"/>
  </si>
  <si>
    <t>　　　　３．令和5年度に調査し、作成した林道台帳データーベースの数値に修正。実績延長は供用開始延長になっている。</t>
    <rPh sb="6" eb="8">
      <t>レイワ</t>
    </rPh>
    <rPh sb="38" eb="40">
      <t>ジッセキ</t>
    </rPh>
    <rPh sb="40" eb="42">
      <t>エンチョウ</t>
    </rPh>
    <rPh sb="43" eb="45">
      <t>キョウヨウ</t>
    </rPh>
    <rPh sb="45" eb="47">
      <t>カイシ</t>
    </rPh>
    <rPh sb="47" eb="49">
      <t>エンチョウ</t>
    </rPh>
    <phoneticPr fontId="4"/>
  </si>
  <si>
    <t>令和４年度</t>
    <rPh sb="0" eb="2">
      <t>レイワ</t>
    </rPh>
    <rPh sb="3" eb="5">
      <t>ネンド</t>
    </rPh>
    <phoneticPr fontId="1"/>
  </si>
  <si>
    <t>　　　　　５　令和５年度への繰越しは含まない。</t>
    <rPh sb="7" eb="9">
      <t>レイワ</t>
    </rPh>
    <rPh sb="10" eb="12">
      <t>ネンド</t>
    </rPh>
    <phoneticPr fontId="1"/>
  </si>
  <si>
    <t>　　　　　４　令和５年度への繰越しは含まない。</t>
    <rPh sb="7" eb="9">
      <t>レイワ</t>
    </rPh>
    <rPh sb="10" eb="12">
      <t>ネンド</t>
    </rPh>
    <rPh sb="14" eb="16">
      <t>クリコ</t>
    </rPh>
    <rPh sb="18" eb="19">
      <t>フク</t>
    </rPh>
    <phoneticPr fontId="1"/>
  </si>
  <si>
    <t>令和４年度の開設</t>
    <rPh sb="0" eb="2">
      <t>レイワ</t>
    </rPh>
    <rPh sb="3" eb="5">
      <t>ネンド</t>
    </rPh>
    <rPh sb="6" eb="8">
      <t>カイセツ</t>
    </rPh>
    <phoneticPr fontId="1"/>
  </si>
  <si>
    <t>令和４年度末の開設累計</t>
    <rPh sb="0" eb="2">
      <t>レイワ</t>
    </rPh>
    <rPh sb="3" eb="5">
      <t>ネンド</t>
    </rPh>
    <rPh sb="5" eb="6">
      <t>マツ</t>
    </rPh>
    <rPh sb="7" eb="9">
      <t>カイセツ</t>
    </rPh>
    <rPh sb="9" eb="11">
      <t>ルイケイ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</si>
</sst>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1">
    <numFmt numFmtId="176" formatCode="\(0\)"/>
    <numFmt numFmtId="177" formatCode="0.0"/>
    <numFmt numFmtId="178" formatCode="#,##0.0;\-#,##0.0"/>
    <numFmt numFmtId="179" formatCode="#,##0;&quot;△&quot;#,##0"/>
    <numFmt numFmtId="180" formatCode="#,##0_);[Red]\(#,##0\)"/>
    <numFmt numFmtId="181" formatCode="#,##0.0_);[Red]\(#,##0.0\)"/>
    <numFmt numFmtId="182" formatCode="#,##0;\-#,##0;&quot;－&quot;"/>
    <numFmt numFmtId="183" formatCode="#,##0.0;[Red]\-#,##0.0"/>
    <numFmt numFmtId="184" formatCode="#,##0;&quot;▲&quot;#,##0;&quot;-&quot;"/>
    <numFmt numFmtId="185" formatCode="#,##0.0;&quot;▲&quot;#,##0.0;&quot;-&quot;"/>
    <numFmt numFmtId="186" formatCode="#,##0;\-#,##0;&quot;-&quot;"/>
    <numFmt numFmtId="187" formatCode="\(0\);\(0\);\(\-\)"/>
    <numFmt numFmtId="188" formatCode="#,##0.0;\-#,##0.0;&quot;-&quot;"/>
    <numFmt numFmtId="189" formatCode="#,##0;&quot;▲&quot;#,##0;&quot;(-)&quot;"/>
    <numFmt numFmtId="190" formatCode="\(#,##0\);&quot;▲&quot;#,##0;&quot;(-)&quot;"/>
    <numFmt numFmtId="191" formatCode="#,##0_ ;[Red]\-#,##0\ "/>
    <numFmt numFmtId="192" formatCode="&quot;( &quot;#,##0&quot;)&quot;;&quot;( &quot;\-#,##0&quot;)&quot;;&quot;( －)&quot;"/>
    <numFmt numFmtId="193" formatCode="#,##0\ ;\-#,##0\ ;&quot;－ &quot;"/>
    <numFmt numFmtId="194" formatCode="&quot;(1)  &quot;0"/>
    <numFmt numFmtId="195" formatCode="0.0&quot; km&quot;"/>
    <numFmt numFmtId="196" formatCode="#,##0_ "/>
  </numFmts>
  <fonts count="36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12"/>
      <name val="ＭＳ ゴシック"/>
      <family val="3"/>
      <charset val="128"/>
    </font>
    <font>
      <sz val="11"/>
      <name val="明朝"/>
      <family val="3"/>
      <charset val="128"/>
    </font>
    <font>
      <sz val="11"/>
      <color indexed="10"/>
      <name val="明朝"/>
      <family val="1"/>
      <charset val="128"/>
    </font>
    <font>
      <sz val="8"/>
      <name val="明朝"/>
      <family val="1"/>
      <charset val="128"/>
    </font>
    <font>
      <sz val="11"/>
      <name val="ＭＳ Ｐゴシック"/>
      <family val="3"/>
      <charset val="128"/>
    </font>
    <font>
      <sz val="11"/>
      <name val="明朝"/>
      <family val="3"/>
      <charset val="128"/>
    </font>
    <font>
      <sz val="10"/>
      <color theme="1"/>
      <name val="ＭＳ ゴシック"/>
      <family val="3"/>
      <charset val="128"/>
    </font>
    <font>
      <sz val="10"/>
      <color theme="1"/>
      <name val="ＭＳ Ｐ明朝"/>
      <family val="1"/>
      <charset val="128"/>
    </font>
    <font>
      <sz val="10"/>
      <color theme="1"/>
      <name val="ＭＳ Ｐゴシック"/>
      <family val="3"/>
      <charset val="128"/>
      <scheme val="major"/>
    </font>
    <font>
      <sz val="10"/>
      <color theme="1"/>
      <name val="ＭＳ Ｐゴシック"/>
      <family val="3"/>
      <charset val="128"/>
    </font>
    <font>
      <b/>
      <sz val="14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b/>
      <sz val="14"/>
      <color theme="1"/>
      <name val="ＭＳ 明朝"/>
      <family val="1"/>
      <charset val="128"/>
    </font>
    <font>
      <sz val="9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b/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8"/>
      <color theme="1"/>
      <name val="ＭＳ Ｐ明朝"/>
      <family val="1"/>
      <charset val="128"/>
    </font>
    <font>
      <sz val="8"/>
      <color theme="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z val="10"/>
      <color theme="1"/>
      <name val="ＭＳ 明朝"/>
      <family val="1"/>
      <charset val="128"/>
    </font>
    <font>
      <b/>
      <sz val="10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b/>
      <sz val="9"/>
      <color theme="1"/>
      <name val="ＭＳ Ｐゴシック"/>
      <family val="3"/>
      <charset val="128"/>
      <scheme val="minor"/>
    </font>
    <font>
      <b/>
      <sz val="16"/>
      <color theme="1"/>
      <name val="ＭＳ Ｐ明朝"/>
      <family val="1"/>
      <charset val="128"/>
    </font>
    <font>
      <sz val="10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theme="1"/>
      <name val="ＭＳ Ｐ明朝"/>
      <family val="1"/>
      <charset val="128"/>
    </font>
    <font>
      <b/>
      <sz val="9"/>
      <color theme="1"/>
      <name val="ＭＳ Ｐゴシック"/>
      <family val="3"/>
      <charset val="128"/>
    </font>
    <font>
      <b/>
      <sz val="9"/>
      <color theme="1"/>
      <name val="ＭＳ Ｐゴシック"/>
      <family val="3"/>
      <charset val="128"/>
      <scheme val="major"/>
    </font>
  </fonts>
  <fills count="2">
    <fill>
      <patternFill patternType="none"/>
    </fill>
    <fill>
      <patternFill patternType="gray125"/>
    </fill>
  </fills>
  <borders count="9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38" fontId="6" fillId="0" borderId="0" applyFont="0" applyFill="0" applyBorder="0" applyAlignment="0" applyProtection="0"/>
    <xf numFmtId="0" fontId="3" fillId="0" borderId="0"/>
    <xf numFmtId="0" fontId="7" fillId="0" borderId="0"/>
    <xf numFmtId="0" fontId="3" fillId="0" borderId="0"/>
    <xf numFmtId="38" fontId="6" fillId="0" borderId="0" applyFont="0" applyFill="0" applyBorder="0" applyAlignment="0" applyProtection="0">
      <alignment vertical="center"/>
    </xf>
  </cellStyleXfs>
  <cellXfs count="424">
    <xf numFmtId="0" fontId="0" fillId="0" borderId="0" xfId="0"/>
    <xf numFmtId="186" fontId="8" fillId="0" borderId="66" xfId="1" applyNumberFormat="1" applyFont="1" applyFill="1" applyBorder="1" applyAlignment="1">
      <alignment vertical="center"/>
    </xf>
    <xf numFmtId="187" fontId="8" fillId="0" borderId="69" xfId="1" applyNumberFormat="1" applyFont="1" applyFill="1" applyBorder="1" applyAlignment="1">
      <alignment vertical="center"/>
    </xf>
    <xf numFmtId="188" fontId="8" fillId="0" borderId="70" xfId="1" applyNumberFormat="1" applyFont="1" applyFill="1" applyBorder="1" applyAlignment="1">
      <alignment vertical="center"/>
    </xf>
    <xf numFmtId="186" fontId="8" fillId="0" borderId="77" xfId="1" applyNumberFormat="1" applyFont="1" applyFill="1" applyBorder="1" applyAlignment="1">
      <alignment vertical="center"/>
    </xf>
    <xf numFmtId="187" fontId="8" fillId="0" borderId="77" xfId="1" applyNumberFormat="1" applyFont="1" applyFill="1" applyBorder="1" applyAlignment="1">
      <alignment vertical="center"/>
    </xf>
    <xf numFmtId="188" fontId="8" fillId="0" borderId="74" xfId="1" applyNumberFormat="1" applyFont="1" applyFill="1" applyBorder="1" applyAlignment="1">
      <alignment vertical="center"/>
    </xf>
    <xf numFmtId="186" fontId="8" fillId="0" borderId="69" xfId="3" applyNumberFormat="1" applyFont="1" applyBorder="1" applyAlignment="1">
      <alignment vertical="center"/>
    </xf>
    <xf numFmtId="187" fontId="8" fillId="0" borderId="69" xfId="3" applyNumberFormat="1" applyFont="1" applyBorder="1" applyAlignment="1">
      <alignment vertical="center"/>
    </xf>
    <xf numFmtId="186" fontId="9" fillId="0" borderId="69" xfId="3" applyNumberFormat="1" applyFont="1" applyBorder="1" applyAlignment="1">
      <alignment vertical="center"/>
    </xf>
    <xf numFmtId="187" fontId="9" fillId="0" borderId="69" xfId="3" applyNumberFormat="1" applyFont="1" applyBorder="1" applyAlignment="1">
      <alignment vertical="center"/>
    </xf>
    <xf numFmtId="186" fontId="9" fillId="0" borderId="69" xfId="1" applyNumberFormat="1" applyFont="1" applyFill="1" applyBorder="1" applyAlignment="1">
      <alignment vertical="center"/>
    </xf>
    <xf numFmtId="188" fontId="10" fillId="0" borderId="70" xfId="1" applyNumberFormat="1" applyFont="1" applyFill="1" applyBorder="1" applyAlignment="1">
      <alignment vertical="center"/>
    </xf>
    <xf numFmtId="187" fontId="9" fillId="0" borderId="69" xfId="3" applyNumberFormat="1" applyFont="1" applyBorder="1" applyAlignment="1">
      <alignment horizontal="right" vertical="center"/>
    </xf>
    <xf numFmtId="187" fontId="9" fillId="0" borderId="69" xfId="1" applyNumberFormat="1" applyFont="1" applyFill="1" applyBorder="1" applyAlignment="1">
      <alignment vertical="center"/>
    </xf>
    <xf numFmtId="188" fontId="11" fillId="0" borderId="70" xfId="1" applyNumberFormat="1" applyFont="1" applyFill="1" applyBorder="1" applyAlignment="1">
      <alignment vertical="center"/>
    </xf>
    <xf numFmtId="186" fontId="9" fillId="0" borderId="69" xfId="1" applyNumberFormat="1" applyFont="1" applyFill="1" applyBorder="1" applyAlignment="1">
      <alignment horizontal="right"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38" fontId="15" fillId="0" borderId="0" xfId="1" applyFont="1" applyFill="1" applyAlignment="1">
      <alignment horizontal="right" vertical="center"/>
    </xf>
    <xf numFmtId="0" fontId="13" fillId="0" borderId="33" xfId="0" applyFont="1" applyBorder="1" applyAlignment="1">
      <alignment horizontal="center" vertical="center"/>
    </xf>
    <xf numFmtId="0" fontId="13" fillId="0" borderId="34" xfId="0" applyFont="1" applyBorder="1" applyAlignment="1">
      <alignment horizontal="center" vertical="center"/>
    </xf>
    <xf numFmtId="0" fontId="13" fillId="0" borderId="35" xfId="0" applyFont="1" applyBorder="1" applyAlignment="1">
      <alignment horizontal="center" vertical="center"/>
    </xf>
    <xf numFmtId="0" fontId="16" fillId="0" borderId="35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16" fillId="0" borderId="34" xfId="0" applyFont="1" applyBorder="1" applyAlignment="1">
      <alignment horizontal="center" vertical="center"/>
    </xf>
    <xf numFmtId="0" fontId="16" fillId="0" borderId="20" xfId="0" applyFont="1" applyBorder="1" applyAlignment="1">
      <alignment horizontal="center" vertical="center"/>
    </xf>
    <xf numFmtId="0" fontId="16" fillId="0" borderId="18" xfId="0" applyFont="1" applyBorder="1" applyAlignment="1">
      <alignment horizontal="center" vertical="center"/>
    </xf>
    <xf numFmtId="0" fontId="16" fillId="0" borderId="2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16" fillId="0" borderId="27" xfId="0" applyFont="1" applyBorder="1" applyAlignment="1">
      <alignment horizontal="center" vertical="center"/>
    </xf>
    <xf numFmtId="0" fontId="16" fillId="0" borderId="60" xfId="0" applyFont="1" applyBorder="1" applyAlignment="1">
      <alignment horizontal="center" vertical="center"/>
    </xf>
    <xf numFmtId="0" fontId="16" fillId="0" borderId="61" xfId="0" applyFont="1" applyBorder="1" applyAlignment="1">
      <alignment horizontal="center" vertical="center"/>
    </xf>
    <xf numFmtId="0" fontId="16" fillId="0" borderId="29" xfId="0" applyFont="1" applyBorder="1" applyAlignment="1">
      <alignment horizontal="center" vertical="center"/>
    </xf>
    <xf numFmtId="0" fontId="16" fillId="0" borderId="42" xfId="0" applyFont="1" applyBorder="1" applyAlignment="1">
      <alignment vertical="center"/>
    </xf>
    <xf numFmtId="0" fontId="16" fillId="0" borderId="43" xfId="0" applyFont="1" applyBorder="1" applyAlignment="1">
      <alignment vertical="center"/>
    </xf>
    <xf numFmtId="0" fontId="16" fillId="0" borderId="44" xfId="0" applyFont="1" applyBorder="1" applyAlignment="1">
      <alignment horizontal="center" vertical="center"/>
    </xf>
    <xf numFmtId="0" fontId="16" fillId="0" borderId="43" xfId="0" applyFont="1" applyBorder="1" applyAlignment="1">
      <alignment horizontal="center" vertical="center"/>
    </xf>
    <xf numFmtId="0" fontId="16" fillId="0" borderId="44" xfId="0" applyFont="1" applyBorder="1" applyAlignment="1">
      <alignment horizontal="right" vertical="center" indent="3"/>
    </xf>
    <xf numFmtId="0" fontId="16" fillId="0" borderId="45" xfId="0" applyFont="1" applyBorder="1" applyAlignment="1">
      <alignment horizontal="right" vertical="center" indent="3"/>
    </xf>
    <xf numFmtId="0" fontId="16" fillId="0" borderId="43" xfId="0" applyFont="1" applyBorder="1" applyAlignment="1">
      <alignment horizontal="right" vertical="center" indent="3"/>
    </xf>
    <xf numFmtId="195" fontId="16" fillId="0" borderId="44" xfId="0" applyNumberFormat="1" applyFont="1" applyBorder="1" applyAlignment="1">
      <alignment horizontal="right" vertical="center" indent="1"/>
    </xf>
    <xf numFmtId="195" fontId="16" fillId="0" borderId="45" xfId="0" applyNumberFormat="1" applyFont="1" applyBorder="1" applyAlignment="1">
      <alignment horizontal="right" vertical="center" indent="1"/>
    </xf>
    <xf numFmtId="195" fontId="16" fillId="0" borderId="57" xfId="0" applyNumberFormat="1" applyFont="1" applyBorder="1" applyAlignment="1">
      <alignment horizontal="right" vertical="center" indent="1"/>
    </xf>
    <xf numFmtId="195" fontId="16" fillId="0" borderId="46" xfId="0" applyNumberFormat="1" applyFont="1" applyBorder="1" applyAlignment="1">
      <alignment horizontal="right" vertical="center" indent="1"/>
    </xf>
    <xf numFmtId="0" fontId="16" fillId="0" borderId="47" xfId="0" applyFont="1" applyBorder="1" applyAlignment="1">
      <alignment vertical="center"/>
    </xf>
    <xf numFmtId="0" fontId="16" fillId="0" borderId="48" xfId="0" applyFont="1" applyBorder="1" applyAlignment="1">
      <alignment vertical="center"/>
    </xf>
    <xf numFmtId="178" fontId="16" fillId="0" borderId="49" xfId="0" applyNumberFormat="1" applyFont="1" applyBorder="1" applyAlignment="1">
      <alignment horizontal="center" vertical="center"/>
    </xf>
    <xf numFmtId="178" fontId="16" fillId="0" borderId="48" xfId="0" applyNumberFormat="1" applyFont="1" applyBorder="1" applyAlignment="1">
      <alignment horizontal="center" vertical="center"/>
    </xf>
    <xf numFmtId="0" fontId="16" fillId="0" borderId="49" xfId="0" applyFont="1" applyBorder="1" applyAlignment="1">
      <alignment horizontal="right" vertical="center" indent="3"/>
    </xf>
    <xf numFmtId="0" fontId="16" fillId="0" borderId="50" xfId="0" applyFont="1" applyBorder="1" applyAlignment="1">
      <alignment horizontal="right" vertical="center" indent="3"/>
    </xf>
    <xf numFmtId="0" fontId="16" fillId="0" borderId="48" xfId="0" applyFont="1" applyBorder="1" applyAlignment="1">
      <alignment horizontal="right" vertical="center" indent="3"/>
    </xf>
    <xf numFmtId="195" fontId="16" fillId="0" borderId="49" xfId="0" applyNumberFormat="1" applyFont="1" applyBorder="1" applyAlignment="1">
      <alignment horizontal="right" vertical="center" indent="1"/>
    </xf>
    <xf numFmtId="195" fontId="16" fillId="0" borderId="50" xfId="0" applyNumberFormat="1" applyFont="1" applyBorder="1" applyAlignment="1">
      <alignment horizontal="right" vertical="center" indent="1"/>
    </xf>
    <xf numFmtId="195" fontId="16" fillId="0" borderId="58" xfId="0" applyNumberFormat="1" applyFont="1" applyBorder="1" applyAlignment="1">
      <alignment horizontal="right" vertical="center" indent="1"/>
    </xf>
    <xf numFmtId="195" fontId="16" fillId="0" borderId="51" xfId="0" applyNumberFormat="1" applyFont="1" applyBorder="1" applyAlignment="1">
      <alignment horizontal="right" vertical="center" indent="1"/>
    </xf>
    <xf numFmtId="0" fontId="17" fillId="0" borderId="0" xfId="0" applyFont="1" applyAlignment="1">
      <alignment vertical="center"/>
    </xf>
    <xf numFmtId="0" fontId="16" fillId="0" borderId="47" xfId="0" applyFont="1" applyBorder="1" applyAlignment="1">
      <alignment horizontal="center" vertical="center"/>
    </xf>
    <xf numFmtId="0" fontId="16" fillId="0" borderId="48" xfId="0" applyFont="1" applyBorder="1" applyAlignment="1">
      <alignment horizontal="center" vertical="center"/>
    </xf>
    <xf numFmtId="0" fontId="16" fillId="0" borderId="52" xfId="0" applyFont="1" applyBorder="1" applyAlignment="1">
      <alignment horizontal="center" vertical="center"/>
    </xf>
    <xf numFmtId="0" fontId="16" fillId="0" borderId="53" xfId="0" applyFont="1" applyBorder="1" applyAlignment="1">
      <alignment horizontal="center" vertical="center"/>
    </xf>
    <xf numFmtId="178" fontId="16" fillId="0" borderId="54" xfId="0" applyNumberFormat="1" applyFont="1" applyBorder="1" applyAlignment="1">
      <alignment horizontal="center" vertical="center"/>
    </xf>
    <xf numFmtId="178" fontId="16" fillId="0" borderId="53" xfId="0" applyNumberFormat="1" applyFont="1" applyBorder="1" applyAlignment="1">
      <alignment horizontal="center" vertical="center"/>
    </xf>
    <xf numFmtId="37" fontId="16" fillId="0" borderId="54" xfId="0" applyNumberFormat="1" applyFont="1" applyBorder="1" applyAlignment="1">
      <alignment horizontal="right" vertical="center" indent="3"/>
    </xf>
    <xf numFmtId="37" fontId="16" fillId="0" borderId="55" xfId="0" applyNumberFormat="1" applyFont="1" applyBorder="1" applyAlignment="1">
      <alignment horizontal="right" vertical="center" indent="3"/>
    </xf>
    <xf numFmtId="37" fontId="16" fillId="0" borderId="53" xfId="0" applyNumberFormat="1" applyFont="1" applyBorder="1" applyAlignment="1">
      <alignment horizontal="right" vertical="center" indent="3"/>
    </xf>
    <xf numFmtId="195" fontId="16" fillId="0" borderId="54" xfId="0" applyNumberFormat="1" applyFont="1" applyBorder="1" applyAlignment="1">
      <alignment horizontal="right" vertical="center" indent="1"/>
    </xf>
    <xf numFmtId="195" fontId="16" fillId="0" borderId="55" xfId="0" applyNumberFormat="1" applyFont="1" applyBorder="1" applyAlignment="1">
      <alignment horizontal="right" vertical="center" indent="1"/>
    </xf>
    <xf numFmtId="195" fontId="16" fillId="0" borderId="59" xfId="0" applyNumberFormat="1" applyFont="1" applyBorder="1" applyAlignment="1">
      <alignment horizontal="right" vertical="center" indent="1"/>
    </xf>
    <xf numFmtId="195" fontId="16" fillId="0" borderId="56" xfId="0" applyNumberFormat="1" applyFont="1" applyBorder="1" applyAlignment="1">
      <alignment horizontal="right" vertical="center" indent="1"/>
    </xf>
    <xf numFmtId="0" fontId="9" fillId="0" borderId="5" xfId="0" applyFont="1" applyBorder="1" applyAlignment="1">
      <alignment vertical="center"/>
    </xf>
    <xf numFmtId="0" fontId="18" fillId="0" borderId="5" xfId="0" applyFont="1" applyBorder="1" applyAlignment="1">
      <alignment vertical="center"/>
    </xf>
    <xf numFmtId="181" fontId="9" fillId="0" borderId="5" xfId="0" applyNumberFormat="1" applyFont="1" applyBorder="1" applyAlignment="1">
      <alignment vertical="center"/>
    </xf>
    <xf numFmtId="180" fontId="9" fillId="0" borderId="5" xfId="0" applyNumberFormat="1" applyFont="1" applyBorder="1" applyAlignment="1">
      <alignment vertical="center"/>
    </xf>
    <xf numFmtId="180" fontId="9" fillId="0" borderId="5" xfId="0" applyNumberFormat="1" applyFont="1" applyBorder="1" applyAlignment="1">
      <alignment vertical="center"/>
    </xf>
    <xf numFmtId="0" fontId="18" fillId="0" borderId="5" xfId="0" applyFont="1" applyBorder="1" applyAlignment="1">
      <alignment vertical="center"/>
    </xf>
    <xf numFmtId="180" fontId="19" fillId="0" borderId="5" xfId="0" applyNumberFormat="1" applyFont="1" applyBorder="1" applyAlignment="1">
      <alignment horizontal="right" vertical="center"/>
    </xf>
    <xf numFmtId="0" fontId="20" fillId="0" borderId="5" xfId="0" applyFont="1" applyBorder="1" applyAlignment="1">
      <alignment horizontal="right" vertical="center"/>
    </xf>
    <xf numFmtId="0" fontId="21" fillId="0" borderId="0" xfId="0" applyFont="1"/>
    <xf numFmtId="0" fontId="11" fillId="0" borderId="0" xfId="0" applyFont="1"/>
    <xf numFmtId="183" fontId="11" fillId="0" borderId="0" xfId="1" applyNumberFormat="1" applyFont="1" applyFill="1"/>
    <xf numFmtId="0" fontId="11" fillId="0" borderId="0" xfId="0" applyFont="1" applyAlignment="1">
      <alignment horizontal="right"/>
    </xf>
    <xf numFmtId="183" fontId="11" fillId="0" borderId="0" xfId="1" applyNumberFormat="1" applyFont="1" applyFill="1" applyAlignment="1">
      <alignment horizontal="right"/>
    </xf>
    <xf numFmtId="0" fontId="22" fillId="0" borderId="11" xfId="0" applyFont="1" applyBorder="1" applyAlignment="1">
      <alignment horizontal="center"/>
    </xf>
    <xf numFmtId="0" fontId="22" fillId="0" borderId="11" xfId="0" applyFont="1" applyBorder="1" applyAlignment="1">
      <alignment horizontal="center" shrinkToFit="1"/>
    </xf>
    <xf numFmtId="183" fontId="22" fillId="0" borderId="11" xfId="1" applyNumberFormat="1" applyFont="1" applyFill="1" applyBorder="1" applyAlignment="1">
      <alignment horizontal="center"/>
    </xf>
    <xf numFmtId="0" fontId="22" fillId="0" borderId="11" xfId="0" applyFont="1" applyBorder="1"/>
    <xf numFmtId="38" fontId="22" fillId="0" borderId="11" xfId="1" applyFont="1" applyFill="1" applyBorder="1"/>
    <xf numFmtId="38" fontId="22" fillId="0" borderId="11" xfId="1" applyFont="1" applyFill="1" applyBorder="1" applyAlignment="1">
      <alignment horizontal="right"/>
    </xf>
    <xf numFmtId="0" fontId="22" fillId="0" borderId="11" xfId="0" applyFont="1" applyBorder="1" applyAlignment="1">
      <alignment horizontal="right"/>
    </xf>
    <xf numFmtId="0" fontId="9" fillId="0" borderId="11" xfId="0" applyFont="1" applyBorder="1" applyAlignment="1">
      <alignment vertical="center"/>
    </xf>
    <xf numFmtId="38" fontId="9" fillId="0" borderId="11" xfId="0" applyNumberFormat="1" applyFont="1" applyBorder="1" applyAlignment="1">
      <alignment vertical="center"/>
    </xf>
    <xf numFmtId="38" fontId="9" fillId="0" borderId="11" xfId="0" applyNumberFormat="1" applyFont="1" applyBorder="1" applyAlignment="1">
      <alignment horizontal="right"/>
    </xf>
    <xf numFmtId="38" fontId="9" fillId="0" borderId="11" xfId="5" applyFont="1" applyFill="1" applyBorder="1" applyAlignment="1">
      <alignment vertical="center"/>
    </xf>
    <xf numFmtId="0" fontId="9" fillId="0" borderId="11" xfId="0" applyFont="1" applyBorder="1" applyAlignment="1">
      <alignment horizontal="right" vertical="center"/>
    </xf>
    <xf numFmtId="1" fontId="9" fillId="0" borderId="11" xfId="0" applyNumberFormat="1" applyFont="1" applyBorder="1" applyAlignment="1">
      <alignment vertical="center"/>
    </xf>
    <xf numFmtId="38" fontId="12" fillId="0" borderId="0" xfId="1" applyFont="1" applyFill="1" applyAlignment="1">
      <alignment vertical="center"/>
    </xf>
    <xf numFmtId="38" fontId="23" fillId="0" borderId="0" xfId="1" applyFont="1" applyFill="1" applyAlignment="1">
      <alignment vertical="center"/>
    </xf>
    <xf numFmtId="38" fontId="9" fillId="0" borderId="0" xfId="1" applyFont="1" applyFill="1" applyAlignment="1">
      <alignment vertical="center"/>
    </xf>
    <xf numFmtId="38" fontId="24" fillId="0" borderId="0" xfId="1" applyFont="1" applyFill="1" applyAlignment="1">
      <alignment vertical="center"/>
    </xf>
    <xf numFmtId="38" fontId="9" fillId="0" borderId="80" xfId="1" applyFont="1" applyFill="1" applyBorder="1" applyAlignment="1">
      <alignment horizontal="center" vertical="center"/>
    </xf>
    <xf numFmtId="0" fontId="16" fillId="0" borderId="81" xfId="0" applyFont="1" applyBorder="1" applyAlignment="1">
      <alignment horizontal="center" vertical="center"/>
    </xf>
    <xf numFmtId="38" fontId="9" fillId="0" borderId="82" xfId="1" applyFont="1" applyFill="1" applyBorder="1" applyAlignment="1">
      <alignment horizontal="centerContinuous" vertical="center"/>
    </xf>
    <xf numFmtId="38" fontId="9" fillId="0" borderId="83" xfId="1" applyFont="1" applyFill="1" applyBorder="1" applyAlignment="1">
      <alignment horizontal="centerContinuous" vertical="center"/>
    </xf>
    <xf numFmtId="38" fontId="9" fillId="0" borderId="84" xfId="1" applyFont="1" applyFill="1" applyBorder="1" applyAlignment="1">
      <alignment horizontal="centerContinuous" vertical="center"/>
    </xf>
    <xf numFmtId="0" fontId="16" fillId="0" borderId="85" xfId="0" applyFont="1" applyBorder="1" applyAlignment="1">
      <alignment horizontal="center" vertical="center"/>
    </xf>
    <xf numFmtId="0" fontId="16" fillId="0" borderId="86" xfId="0" applyFont="1" applyBorder="1" applyAlignment="1">
      <alignment horizontal="center" vertical="center"/>
    </xf>
    <xf numFmtId="38" fontId="9" fillId="0" borderId="87" xfId="1" applyFont="1" applyFill="1" applyBorder="1" applyAlignment="1">
      <alignment horizontal="center" vertical="center"/>
    </xf>
    <xf numFmtId="38" fontId="9" fillId="0" borderId="88" xfId="1" applyFont="1" applyFill="1" applyBorder="1" applyAlignment="1">
      <alignment horizontal="center" vertical="center"/>
    </xf>
    <xf numFmtId="38" fontId="9" fillId="0" borderId="89" xfId="1" applyFont="1" applyFill="1" applyBorder="1" applyAlignment="1">
      <alignment horizontal="center" vertical="center"/>
    </xf>
    <xf numFmtId="38" fontId="9" fillId="0" borderId="90" xfId="1" applyFont="1" applyFill="1" applyBorder="1" applyAlignment="1">
      <alignment horizontal="center" vertical="center"/>
    </xf>
    <xf numFmtId="38" fontId="9" fillId="0" borderId="1" xfId="1" applyFont="1" applyFill="1" applyBorder="1" applyAlignment="1">
      <alignment horizontal="distributed" vertical="center"/>
    </xf>
    <xf numFmtId="0" fontId="16" fillId="0" borderId="3" xfId="0" applyFont="1" applyBorder="1" applyAlignment="1">
      <alignment horizontal="distributed" vertical="center"/>
    </xf>
    <xf numFmtId="38" fontId="9" fillId="0" borderId="0" xfId="1" applyFont="1" applyFill="1" applyBorder="1" applyAlignment="1">
      <alignment vertical="center"/>
    </xf>
    <xf numFmtId="38" fontId="9" fillId="0" borderId="78" xfId="1" applyFont="1" applyFill="1" applyBorder="1" applyAlignment="1">
      <alignment vertical="center"/>
    </xf>
    <xf numFmtId="38" fontId="9" fillId="0" borderId="69" xfId="1" applyFont="1" applyFill="1" applyBorder="1" applyAlignment="1">
      <alignment vertical="center"/>
    </xf>
    <xf numFmtId="182" fontId="9" fillId="0" borderId="69" xfId="1" applyNumberFormat="1" applyFont="1" applyFill="1" applyBorder="1" applyAlignment="1">
      <alignment horizontal="right" vertical="center"/>
    </xf>
    <xf numFmtId="182" fontId="9" fillId="0" borderId="70" xfId="1" applyNumberFormat="1" applyFont="1" applyFill="1" applyBorder="1" applyAlignment="1">
      <alignment horizontal="right" vertical="center"/>
    </xf>
    <xf numFmtId="0" fontId="9" fillId="0" borderId="3" xfId="0" applyFont="1" applyBorder="1" applyAlignment="1">
      <alignment horizontal="distributed" vertical="center"/>
    </xf>
    <xf numFmtId="38" fontId="8" fillId="0" borderId="1" xfId="1" applyFont="1" applyFill="1" applyBorder="1" applyAlignment="1">
      <alignment horizontal="distributed" vertical="center"/>
    </xf>
    <xf numFmtId="0" fontId="8" fillId="0" borderId="3" xfId="0" applyFont="1" applyBorder="1" applyAlignment="1">
      <alignment horizontal="distributed" vertical="center"/>
    </xf>
    <xf numFmtId="38" fontId="8" fillId="0" borderId="0" xfId="1" applyFont="1" applyFill="1" applyBorder="1" applyAlignment="1">
      <alignment vertical="center"/>
    </xf>
    <xf numFmtId="38" fontId="8" fillId="0" borderId="78" xfId="1" applyFont="1" applyFill="1" applyBorder="1" applyAlignment="1">
      <alignment vertical="center"/>
    </xf>
    <xf numFmtId="38" fontId="8" fillId="0" borderId="69" xfId="1" applyFont="1" applyFill="1" applyBorder="1" applyAlignment="1">
      <alignment vertical="center"/>
    </xf>
    <xf numFmtId="182" fontId="8" fillId="0" borderId="69" xfId="1" applyNumberFormat="1" applyFont="1" applyFill="1" applyBorder="1" applyAlignment="1">
      <alignment horizontal="right" vertical="center"/>
    </xf>
    <xf numFmtId="182" fontId="8" fillId="0" borderId="70" xfId="1" applyNumberFormat="1" applyFont="1" applyFill="1" applyBorder="1" applyAlignment="1">
      <alignment horizontal="right" vertical="center"/>
    </xf>
    <xf numFmtId="0" fontId="25" fillId="0" borderId="0" xfId="0" applyFont="1" applyAlignment="1">
      <alignment vertical="center"/>
    </xf>
    <xf numFmtId="0" fontId="9" fillId="0" borderId="1" xfId="0" applyFont="1" applyBorder="1" applyAlignment="1">
      <alignment vertical="center"/>
    </xf>
    <xf numFmtId="38" fontId="9" fillId="0" borderId="3" xfId="1" applyFont="1" applyFill="1" applyBorder="1" applyAlignment="1">
      <alignment vertical="center"/>
    </xf>
    <xf numFmtId="38" fontId="9" fillId="0" borderId="70" xfId="1" applyFont="1" applyFill="1" applyBorder="1" applyAlignment="1">
      <alignment vertical="center"/>
    </xf>
    <xf numFmtId="38" fontId="9" fillId="0" borderId="3" xfId="1" applyFont="1" applyFill="1" applyBorder="1" applyAlignment="1">
      <alignment horizontal="distributed" vertical="center"/>
    </xf>
    <xf numFmtId="179" fontId="9" fillId="0" borderId="69" xfId="1" applyNumberFormat="1" applyFont="1" applyFill="1" applyBorder="1" applyAlignment="1">
      <alignment vertical="center"/>
    </xf>
    <xf numFmtId="38" fontId="9" fillId="0" borderId="3" xfId="1" applyFont="1" applyFill="1" applyBorder="1" applyAlignment="1">
      <alignment horizontal="center" vertical="center"/>
    </xf>
    <xf numFmtId="0" fontId="9" fillId="0" borderId="14" xfId="0" applyFont="1" applyBorder="1" applyAlignment="1">
      <alignment horizontal="distributed" vertical="center" wrapText="1"/>
    </xf>
    <xf numFmtId="0" fontId="11" fillId="0" borderId="15" xfId="0" applyFont="1" applyBorder="1" applyAlignment="1">
      <alignment horizontal="distributed" vertical="center" wrapText="1"/>
    </xf>
    <xf numFmtId="179" fontId="9" fillId="0" borderId="24" xfId="1" applyNumberFormat="1" applyFont="1" applyFill="1" applyBorder="1" applyAlignment="1">
      <alignment vertical="center"/>
    </xf>
    <xf numFmtId="179" fontId="9" fillId="0" borderId="79" xfId="1" applyNumberFormat="1" applyFont="1" applyFill="1" applyBorder="1" applyAlignment="1">
      <alignment vertical="center"/>
    </xf>
    <xf numFmtId="179" fontId="9" fillId="0" borderId="72" xfId="1" applyNumberFormat="1" applyFont="1" applyFill="1" applyBorder="1" applyAlignment="1">
      <alignment horizontal="right" vertical="center"/>
    </xf>
    <xf numFmtId="179" fontId="9" fillId="0" borderId="72" xfId="1" applyNumberFormat="1" applyFont="1" applyFill="1" applyBorder="1" applyAlignment="1">
      <alignment vertical="center"/>
    </xf>
    <xf numFmtId="182" fontId="9" fillId="0" borderId="72" xfId="1" applyNumberFormat="1" applyFont="1" applyFill="1" applyBorder="1" applyAlignment="1">
      <alignment horizontal="right" vertical="center"/>
    </xf>
    <xf numFmtId="182" fontId="9" fillId="0" borderId="73" xfId="1" applyNumberFormat="1" applyFont="1" applyFill="1" applyBorder="1" applyAlignment="1">
      <alignment horizontal="right" vertical="center"/>
    </xf>
    <xf numFmtId="38" fontId="15" fillId="0" borderId="0" xfId="1" applyFont="1" applyFill="1" applyAlignment="1">
      <alignment vertical="center"/>
    </xf>
    <xf numFmtId="38" fontId="19" fillId="0" borderId="0" xfId="1" applyFont="1" applyFill="1" applyAlignment="1">
      <alignment horizontal="right" vertical="center"/>
    </xf>
    <xf numFmtId="38" fontId="9" fillId="0" borderId="37" xfId="1" applyFont="1" applyFill="1" applyBorder="1" applyAlignment="1">
      <alignment horizontal="center" vertical="center"/>
    </xf>
    <xf numFmtId="0" fontId="18" fillId="0" borderId="21" xfId="0" applyFont="1" applyBorder="1" applyAlignment="1">
      <alignment horizontal="center" vertical="center"/>
    </xf>
    <xf numFmtId="38" fontId="9" fillId="0" borderId="19" xfId="1" applyFont="1" applyFill="1" applyBorder="1" applyAlignment="1">
      <alignment horizontal="center" vertical="center"/>
    </xf>
    <xf numFmtId="38" fontId="9" fillId="0" borderId="62" xfId="1" applyFont="1" applyFill="1" applyBorder="1" applyAlignment="1">
      <alignment horizontal="center" vertical="center" wrapText="1" shrinkToFit="1"/>
    </xf>
    <xf numFmtId="38" fontId="9" fillId="0" borderId="63" xfId="1" applyFont="1" applyFill="1" applyBorder="1" applyAlignment="1">
      <alignment horizontal="center" vertical="center" wrapText="1" shrinkToFit="1"/>
    </xf>
    <xf numFmtId="38" fontId="15" fillId="0" borderId="63" xfId="1" applyFont="1" applyFill="1" applyBorder="1" applyAlignment="1">
      <alignment horizontal="center" vertical="center" wrapText="1" shrinkToFit="1"/>
    </xf>
    <xf numFmtId="38" fontId="9" fillId="0" borderId="64" xfId="1" applyFont="1" applyFill="1" applyBorder="1" applyAlignment="1">
      <alignment horizontal="center" vertical="center" shrinkToFit="1"/>
    </xf>
    <xf numFmtId="38" fontId="9" fillId="0" borderId="0" xfId="1" applyFont="1" applyFill="1" applyAlignment="1">
      <alignment horizontal="center" vertical="center"/>
    </xf>
    <xf numFmtId="38" fontId="9" fillId="0" borderId="0" xfId="1" applyFont="1" applyFill="1" applyBorder="1" applyAlignment="1">
      <alignment horizontal="center" vertical="center"/>
    </xf>
    <xf numFmtId="38" fontId="11" fillId="0" borderId="12" xfId="1" applyFont="1" applyFill="1" applyBorder="1" applyAlignment="1">
      <alignment horizontal="center" vertical="center"/>
    </xf>
    <xf numFmtId="38" fontId="11" fillId="0" borderId="36" xfId="1" applyFont="1" applyFill="1" applyBorder="1" applyAlignment="1">
      <alignment horizontal="center" vertical="center"/>
    </xf>
    <xf numFmtId="192" fontId="11" fillId="0" borderId="13" xfId="4" applyNumberFormat="1" applyFont="1" applyBorder="1" applyAlignment="1">
      <alignment vertical="center"/>
    </xf>
    <xf numFmtId="192" fontId="11" fillId="0" borderId="65" xfId="1" applyNumberFormat="1" applyFont="1" applyFill="1" applyBorder="1" applyAlignment="1">
      <alignment horizontal="right" vertical="center"/>
    </xf>
    <xf numFmtId="192" fontId="11" fillId="0" borderId="66" xfId="1" applyNumberFormat="1" applyFont="1" applyFill="1" applyBorder="1" applyAlignment="1">
      <alignment horizontal="right" vertical="center"/>
    </xf>
    <xf numFmtId="192" fontId="11" fillId="0" borderId="67" xfId="1" applyNumberFormat="1" applyFont="1" applyFill="1" applyBorder="1" applyAlignment="1">
      <alignment horizontal="right" vertical="center"/>
    </xf>
    <xf numFmtId="38" fontId="25" fillId="0" borderId="0" xfId="1" applyFont="1" applyFill="1" applyAlignment="1">
      <alignment vertical="center"/>
    </xf>
    <xf numFmtId="182" fontId="23" fillId="0" borderId="0" xfId="1" applyNumberFormat="1" applyFont="1" applyFill="1" applyBorder="1" applyAlignment="1">
      <alignment horizontal="right" vertical="center"/>
    </xf>
    <xf numFmtId="38" fontId="25" fillId="0" borderId="0" xfId="1" applyFont="1" applyFill="1" applyBorder="1" applyAlignment="1">
      <alignment vertical="center"/>
    </xf>
    <xf numFmtId="38" fontId="11" fillId="0" borderId="1" xfId="1" applyFont="1" applyFill="1" applyBorder="1" applyAlignment="1">
      <alignment horizontal="center" vertical="center"/>
    </xf>
    <xf numFmtId="38" fontId="11" fillId="0" borderId="8" xfId="1" applyFont="1" applyFill="1" applyBorder="1" applyAlignment="1">
      <alignment horizontal="center" vertical="center"/>
    </xf>
    <xf numFmtId="193" fontId="11" fillId="0" borderId="3" xfId="4" applyNumberFormat="1" applyFont="1" applyBorder="1" applyAlignment="1">
      <alignment vertical="top"/>
    </xf>
    <xf numFmtId="193" fontId="11" fillId="0" borderId="68" xfId="1" applyNumberFormat="1" applyFont="1" applyFill="1" applyBorder="1" applyAlignment="1">
      <alignment horizontal="right" vertical="top"/>
    </xf>
    <xf numFmtId="193" fontId="11" fillId="0" borderId="69" xfId="1" applyNumberFormat="1" applyFont="1" applyFill="1" applyBorder="1" applyAlignment="1">
      <alignment horizontal="right" vertical="top"/>
    </xf>
    <xf numFmtId="193" fontId="11" fillId="0" borderId="70" xfId="1" applyNumberFormat="1" applyFont="1" applyFill="1" applyBorder="1" applyAlignment="1">
      <alignment horizontal="right" vertical="top"/>
    </xf>
    <xf numFmtId="38" fontId="25" fillId="0" borderId="0" xfId="1" applyFont="1" applyFill="1" applyAlignment="1">
      <alignment vertical="top"/>
    </xf>
    <xf numFmtId="182" fontId="23" fillId="0" borderId="0" xfId="1" applyNumberFormat="1" applyFont="1" applyFill="1" applyBorder="1" applyAlignment="1">
      <alignment horizontal="right" vertical="top"/>
    </xf>
    <xf numFmtId="38" fontId="25" fillId="0" borderId="0" xfId="1" applyFont="1" applyFill="1" applyBorder="1" applyAlignment="1">
      <alignment vertical="top"/>
    </xf>
    <xf numFmtId="38" fontId="9" fillId="0" borderId="8" xfId="1" applyFont="1" applyFill="1" applyBorder="1" applyAlignment="1">
      <alignment vertical="center"/>
    </xf>
    <xf numFmtId="191" fontId="9" fillId="0" borderId="3" xfId="1" applyNumberFormat="1" applyFont="1" applyFill="1" applyBorder="1" applyAlignment="1">
      <alignment vertical="center"/>
    </xf>
    <xf numFmtId="38" fontId="9" fillId="0" borderId="68" xfId="1" applyFont="1" applyFill="1" applyBorder="1" applyAlignment="1">
      <alignment vertical="center"/>
    </xf>
    <xf numFmtId="38" fontId="9" fillId="0" borderId="69" xfId="1" applyFont="1" applyFill="1" applyBorder="1" applyAlignment="1">
      <alignment horizontal="right" vertical="center"/>
    </xf>
    <xf numFmtId="38" fontId="9" fillId="0" borderId="0" xfId="1" applyFont="1" applyFill="1" applyBorder="1" applyAlignment="1">
      <alignment horizontal="right" vertical="center"/>
    </xf>
    <xf numFmtId="38" fontId="9" fillId="0" borderId="8" xfId="1" applyFont="1" applyFill="1" applyBorder="1" applyAlignment="1">
      <alignment horizontal="distributed" vertical="center"/>
    </xf>
    <xf numFmtId="192" fontId="9" fillId="0" borderId="3" xfId="1" applyNumberFormat="1" applyFont="1" applyFill="1" applyBorder="1" applyAlignment="1">
      <alignment vertical="center"/>
    </xf>
    <xf numFmtId="192" fontId="9" fillId="0" borderId="68" xfId="1" applyNumberFormat="1" applyFont="1" applyFill="1" applyBorder="1" applyAlignment="1">
      <alignment horizontal="right" vertical="center"/>
    </xf>
    <xf numFmtId="192" fontId="9" fillId="0" borderId="69" xfId="1" applyNumberFormat="1" applyFont="1" applyFill="1" applyBorder="1" applyAlignment="1">
      <alignment horizontal="right" vertical="center"/>
    </xf>
    <xf numFmtId="192" fontId="9" fillId="0" borderId="70" xfId="1" applyNumberFormat="1" applyFont="1" applyFill="1" applyBorder="1" applyAlignment="1">
      <alignment horizontal="right" vertical="center"/>
    </xf>
    <xf numFmtId="182" fontId="9" fillId="0" borderId="0" xfId="1" applyNumberFormat="1" applyFont="1" applyFill="1" applyBorder="1" applyAlignment="1">
      <alignment horizontal="right" vertical="center"/>
    </xf>
    <xf numFmtId="0" fontId="9" fillId="0" borderId="1" xfId="0" applyFont="1" applyBorder="1" applyAlignment="1">
      <alignment vertical="top"/>
    </xf>
    <xf numFmtId="193" fontId="9" fillId="0" borderId="3" xfId="1" applyNumberFormat="1" applyFont="1" applyFill="1" applyBorder="1" applyAlignment="1">
      <alignment vertical="top"/>
    </xf>
    <xf numFmtId="193" fontId="9" fillId="0" borderId="68" xfId="1" applyNumberFormat="1" applyFont="1" applyFill="1" applyBorder="1" applyAlignment="1">
      <alignment horizontal="right" vertical="top"/>
    </xf>
    <xf numFmtId="193" fontId="9" fillId="0" borderId="69" xfId="1" applyNumberFormat="1" applyFont="1" applyFill="1" applyBorder="1" applyAlignment="1">
      <alignment horizontal="right" vertical="top"/>
    </xf>
    <xf numFmtId="193" fontId="9" fillId="0" borderId="70" xfId="1" applyNumberFormat="1" applyFont="1" applyFill="1" applyBorder="1" applyAlignment="1">
      <alignment horizontal="right" vertical="top"/>
    </xf>
    <xf numFmtId="38" fontId="9" fillId="0" borderId="0" xfId="1" applyFont="1" applyFill="1" applyAlignment="1">
      <alignment vertical="top"/>
    </xf>
    <xf numFmtId="182" fontId="9" fillId="0" borderId="0" xfId="1" applyNumberFormat="1" applyFont="1" applyFill="1" applyBorder="1" applyAlignment="1">
      <alignment horizontal="right" vertical="top"/>
    </xf>
    <xf numFmtId="38" fontId="9" fillId="0" borderId="0" xfId="1" applyFont="1" applyFill="1" applyBorder="1" applyAlignment="1">
      <alignment vertical="top"/>
    </xf>
    <xf numFmtId="192" fontId="9" fillId="0" borderId="70" xfId="1" applyNumberFormat="1" applyFont="1" applyFill="1" applyBorder="1" applyAlignment="1">
      <alignment vertical="center"/>
    </xf>
    <xf numFmtId="193" fontId="9" fillId="0" borderId="70" xfId="1" applyNumberFormat="1" applyFont="1" applyFill="1" applyBorder="1" applyAlignment="1">
      <alignment vertical="top"/>
    </xf>
    <xf numFmtId="38" fontId="9" fillId="0" borderId="14" xfId="1" applyFont="1" applyFill="1" applyBorder="1" applyAlignment="1">
      <alignment vertical="center"/>
    </xf>
    <xf numFmtId="38" fontId="9" fillId="0" borderId="22" xfId="1" applyFont="1" applyFill="1" applyBorder="1" applyAlignment="1">
      <alignment vertical="center"/>
    </xf>
    <xf numFmtId="191" fontId="9" fillId="0" borderId="15" xfId="1" applyNumberFormat="1" applyFont="1" applyFill="1" applyBorder="1" applyAlignment="1">
      <alignment vertical="center"/>
    </xf>
    <xf numFmtId="38" fontId="9" fillId="0" borderId="71" xfId="1" applyFont="1" applyFill="1" applyBorder="1" applyAlignment="1">
      <alignment vertical="center"/>
    </xf>
    <xf numFmtId="38" fontId="9" fillId="0" borderId="72" xfId="1" applyFont="1" applyFill="1" applyBorder="1" applyAlignment="1">
      <alignment vertical="center"/>
    </xf>
    <xf numFmtId="38" fontId="9" fillId="0" borderId="73" xfId="1" applyFont="1" applyFill="1" applyBorder="1" applyAlignment="1">
      <alignment vertical="center"/>
    </xf>
    <xf numFmtId="38" fontId="26" fillId="0" borderId="0" xfId="1" applyFont="1" applyFill="1" applyBorder="1" applyAlignment="1">
      <alignment vertical="center"/>
    </xf>
    <xf numFmtId="38" fontId="24" fillId="0" borderId="0" xfId="1" applyFont="1" applyFill="1" applyBorder="1" applyAlignment="1">
      <alignment vertical="center"/>
    </xf>
    <xf numFmtId="38" fontId="27" fillId="0" borderId="10" xfId="1" applyFont="1" applyFill="1" applyBorder="1" applyAlignment="1">
      <alignment vertical="center"/>
    </xf>
    <xf numFmtId="38" fontId="12" fillId="0" borderId="0" xfId="1" applyFont="1" applyFill="1" applyBorder="1" applyAlignment="1">
      <alignment vertical="center"/>
    </xf>
    <xf numFmtId="38" fontId="27" fillId="0" borderId="0" xfId="1" applyFont="1" applyFill="1" applyBorder="1" applyAlignment="1">
      <alignment vertical="center"/>
    </xf>
    <xf numFmtId="38" fontId="15" fillId="0" borderId="0" xfId="1" applyFont="1" applyFill="1" applyBorder="1" applyAlignment="1">
      <alignment horizontal="right" vertical="center"/>
    </xf>
    <xf numFmtId="38" fontId="9" fillId="0" borderId="33" xfId="1" applyFont="1" applyFill="1" applyBorder="1" applyAlignment="1">
      <alignment horizontal="center" vertical="center"/>
    </xf>
    <xf numFmtId="38" fontId="9" fillId="0" borderId="38" xfId="1" applyFont="1" applyFill="1" applyBorder="1" applyAlignment="1">
      <alignment horizontal="center" vertical="center"/>
    </xf>
    <xf numFmtId="38" fontId="9" fillId="0" borderId="38" xfId="1" applyFont="1" applyFill="1" applyBorder="1" applyAlignment="1">
      <alignment horizontal="center" vertical="center" wrapText="1"/>
    </xf>
    <xf numFmtId="38" fontId="9" fillId="0" borderId="20" xfId="1" applyFont="1" applyFill="1" applyBorder="1" applyAlignment="1">
      <alignment horizontal="center" vertical="center"/>
    </xf>
    <xf numFmtId="0" fontId="18" fillId="0" borderId="18" xfId="0" applyFont="1" applyBorder="1" applyAlignment="1">
      <alignment horizontal="center" vertical="center"/>
    </xf>
    <xf numFmtId="38" fontId="28" fillId="0" borderId="0" xfId="1" applyFont="1" applyFill="1" applyBorder="1" applyAlignment="1">
      <alignment vertical="center"/>
    </xf>
    <xf numFmtId="0" fontId="16" fillId="0" borderId="16" xfId="0" applyFont="1" applyBorder="1" applyAlignment="1">
      <alignment horizontal="center" vertical="center"/>
    </xf>
    <xf numFmtId="0" fontId="16" fillId="0" borderId="9" xfId="0" applyFont="1" applyBorder="1" applyAlignment="1">
      <alignment horizontal="center" vertical="center"/>
    </xf>
    <xf numFmtId="0" fontId="18" fillId="0" borderId="17" xfId="0" applyFont="1" applyBorder="1" applyAlignment="1">
      <alignment vertical="center"/>
    </xf>
    <xf numFmtId="0" fontId="18" fillId="0" borderId="17" xfId="0" applyFont="1" applyBorder="1" applyAlignment="1">
      <alignment vertical="center" wrapText="1"/>
    </xf>
    <xf numFmtId="38" fontId="9" fillId="0" borderId="27" xfId="1" applyFont="1" applyFill="1" applyBorder="1" applyAlignment="1">
      <alignment horizontal="center" vertical="center"/>
    </xf>
    <xf numFmtId="38" fontId="9" fillId="0" borderId="77" xfId="1" applyFont="1" applyFill="1" applyBorder="1" applyAlignment="1">
      <alignment horizontal="center" vertical="center" wrapText="1"/>
    </xf>
    <xf numFmtId="38" fontId="9" fillId="0" borderId="77" xfId="1" applyFont="1" applyFill="1" applyBorder="1" applyAlignment="1">
      <alignment horizontal="center" vertical="center"/>
    </xf>
    <xf numFmtId="38" fontId="9" fillId="0" borderId="74" xfId="1" applyFont="1" applyFill="1" applyBorder="1" applyAlignment="1">
      <alignment horizontal="center" vertical="center"/>
    </xf>
    <xf numFmtId="38" fontId="27" fillId="0" borderId="5" xfId="1" applyFont="1" applyFill="1" applyBorder="1" applyAlignment="1">
      <alignment vertical="center"/>
    </xf>
    <xf numFmtId="184" fontId="9" fillId="0" borderId="6" xfId="1" applyNumberFormat="1" applyFont="1" applyFill="1" applyBorder="1" applyAlignment="1">
      <alignment vertical="center"/>
    </xf>
    <xf numFmtId="184" fontId="9" fillId="0" borderId="4" xfId="1" applyNumberFormat="1" applyFont="1" applyFill="1" applyBorder="1" applyAlignment="1">
      <alignment vertical="center"/>
    </xf>
    <xf numFmtId="184" fontId="9" fillId="0" borderId="69" xfId="1" applyNumberFormat="1" applyFont="1" applyFill="1" applyBorder="1" applyAlignment="1">
      <alignment horizontal="right" vertical="center"/>
    </xf>
    <xf numFmtId="184" fontId="9" fillId="0" borderId="69" xfId="1" applyNumberFormat="1" applyFont="1" applyFill="1" applyBorder="1" applyAlignment="1">
      <alignment vertical="center"/>
    </xf>
    <xf numFmtId="185" fontId="9" fillId="0" borderId="70" xfId="1" applyNumberFormat="1" applyFont="1" applyFill="1" applyBorder="1" applyAlignment="1">
      <alignment vertical="center"/>
    </xf>
    <xf numFmtId="38" fontId="8" fillId="0" borderId="16" xfId="1" applyFont="1" applyFill="1" applyBorder="1" applyAlignment="1">
      <alignment horizontal="distributed" vertical="center"/>
    </xf>
    <xf numFmtId="0" fontId="8" fillId="0" borderId="9" xfId="0" applyFont="1" applyBorder="1" applyAlignment="1">
      <alignment horizontal="distributed" vertical="center"/>
    </xf>
    <xf numFmtId="184" fontId="8" fillId="0" borderId="17" xfId="1" applyNumberFormat="1" applyFont="1" applyFill="1" applyBorder="1" applyAlignment="1">
      <alignment vertical="center"/>
    </xf>
    <xf numFmtId="184" fontId="8" fillId="0" borderId="31" xfId="1" applyNumberFormat="1" applyFont="1" applyFill="1" applyBorder="1" applyAlignment="1">
      <alignment vertical="center"/>
    </xf>
    <xf numFmtId="184" fontId="8" fillId="0" borderId="75" xfId="1" applyNumberFormat="1" applyFont="1" applyFill="1" applyBorder="1" applyAlignment="1">
      <alignment vertical="center"/>
    </xf>
    <xf numFmtId="185" fontId="8" fillId="0" borderId="76" xfId="1" applyNumberFormat="1" applyFont="1" applyFill="1" applyBorder="1" applyAlignment="1">
      <alignment vertical="center"/>
    </xf>
    <xf numFmtId="38" fontId="8" fillId="0" borderId="30" xfId="1" applyFont="1" applyFill="1" applyBorder="1" applyAlignment="1">
      <alignment vertical="center" shrinkToFit="1"/>
    </xf>
    <xf numFmtId="0" fontId="8" fillId="0" borderId="28" xfId="0" applyFont="1" applyBorder="1" applyAlignment="1">
      <alignment vertical="center" shrinkToFit="1"/>
    </xf>
    <xf numFmtId="184" fontId="8" fillId="0" borderId="11" xfId="1" applyNumberFormat="1" applyFont="1" applyFill="1" applyBorder="1" applyAlignment="1">
      <alignment vertical="center"/>
    </xf>
    <xf numFmtId="184" fontId="8" fillId="0" borderId="27" xfId="1" applyNumberFormat="1" applyFont="1" applyFill="1" applyBorder="1" applyAlignment="1">
      <alignment vertical="center"/>
    </xf>
    <xf numFmtId="184" fontId="8" fillId="0" borderId="77" xfId="1" applyNumberFormat="1" applyFont="1" applyFill="1" applyBorder="1" applyAlignment="1">
      <alignment horizontal="right" vertical="center"/>
    </xf>
    <xf numFmtId="184" fontId="8" fillId="0" borderId="77" xfId="1" applyNumberFormat="1" applyFont="1" applyFill="1" applyBorder="1" applyAlignment="1">
      <alignment vertical="center"/>
    </xf>
    <xf numFmtId="185" fontId="8" fillId="0" borderId="74" xfId="1" applyNumberFormat="1" applyFont="1" applyFill="1" applyBorder="1" applyAlignment="1">
      <alignment vertical="center"/>
    </xf>
    <xf numFmtId="38" fontId="8" fillId="0" borderId="1" xfId="1" applyFont="1" applyFill="1" applyBorder="1" applyAlignment="1">
      <alignment vertical="center" shrinkToFit="1"/>
    </xf>
    <xf numFmtId="0" fontId="8" fillId="0" borderId="3" xfId="0" applyFont="1" applyFill="1" applyBorder="1" applyAlignment="1">
      <alignment vertical="center" shrinkToFit="1"/>
    </xf>
    <xf numFmtId="184" fontId="8" fillId="0" borderId="6" xfId="1" applyNumberFormat="1" applyFont="1" applyFill="1" applyBorder="1" applyAlignment="1">
      <alignment vertical="center"/>
    </xf>
    <xf numFmtId="184" fontId="8" fillId="0" borderId="4" xfId="1" applyNumberFormat="1" applyFont="1" applyFill="1" applyBorder="1" applyAlignment="1">
      <alignment vertical="center"/>
    </xf>
    <xf numFmtId="184" fontId="8" fillId="0" borderId="69" xfId="1" applyNumberFormat="1" applyFont="1" applyFill="1" applyBorder="1" applyAlignment="1">
      <alignment vertical="center"/>
    </xf>
    <xf numFmtId="185" fontId="8" fillId="0" borderId="70" xfId="1" applyNumberFormat="1" applyFont="1" applyFill="1" applyBorder="1" applyAlignment="1">
      <alignment vertical="center"/>
    </xf>
    <xf numFmtId="38" fontId="9" fillId="0" borderId="1" xfId="1" applyFont="1" applyFill="1" applyBorder="1" applyAlignment="1">
      <alignment vertical="center"/>
    </xf>
    <xf numFmtId="184" fontId="9" fillId="0" borderId="4" xfId="1" applyNumberFormat="1" applyFont="1" applyFill="1" applyBorder="1" applyAlignment="1">
      <alignment horizontal="right" vertical="center"/>
    </xf>
    <xf numFmtId="184" fontId="8" fillId="0" borderId="69" xfId="1" applyNumberFormat="1" applyFont="1" applyFill="1" applyBorder="1" applyAlignment="1">
      <alignment horizontal="right" vertical="center"/>
    </xf>
    <xf numFmtId="184" fontId="9" fillId="0" borderId="69" xfId="4" applyNumberFormat="1" applyFont="1" applyBorder="1" applyAlignment="1">
      <alignment vertical="center"/>
    </xf>
    <xf numFmtId="194" fontId="9" fillId="0" borderId="69" xfId="1" applyNumberFormat="1" applyFont="1" applyFill="1" applyBorder="1" applyAlignment="1">
      <alignment horizontal="right" vertical="center"/>
    </xf>
    <xf numFmtId="184" fontId="9" fillId="0" borderId="69" xfId="4" applyNumberFormat="1" applyFont="1" applyBorder="1" applyAlignment="1">
      <alignment horizontal="right" vertical="center"/>
    </xf>
    <xf numFmtId="184" fontId="9" fillId="0" borderId="6" xfId="1" applyNumberFormat="1" applyFont="1" applyFill="1" applyBorder="1" applyAlignment="1">
      <alignment horizontal="right" vertical="center"/>
    </xf>
    <xf numFmtId="184" fontId="9" fillId="0" borderId="70" xfId="1" applyNumberFormat="1" applyFont="1" applyFill="1" applyBorder="1" applyAlignment="1">
      <alignment horizontal="right" vertical="center"/>
    </xf>
    <xf numFmtId="185" fontId="9" fillId="0" borderId="70" xfId="1" applyNumberFormat="1" applyFont="1" applyFill="1" applyBorder="1" applyAlignment="1">
      <alignment horizontal="right" vertical="center"/>
    </xf>
    <xf numFmtId="38" fontId="9" fillId="0" borderId="16" xfId="1" applyFont="1" applyFill="1" applyBorder="1" applyAlignment="1">
      <alignment vertical="center"/>
    </xf>
    <xf numFmtId="38" fontId="9" fillId="0" borderId="9" xfId="1" applyFont="1" applyFill="1" applyBorder="1" applyAlignment="1">
      <alignment horizontal="distributed" vertical="center"/>
    </xf>
    <xf numFmtId="184" fontId="9" fillId="0" borderId="17" xfId="1" applyNumberFormat="1" applyFont="1" applyFill="1" applyBorder="1" applyAlignment="1">
      <alignment vertical="center"/>
    </xf>
    <xf numFmtId="184" fontId="9" fillId="0" borderId="17" xfId="1" applyNumberFormat="1" applyFont="1" applyFill="1" applyBorder="1" applyAlignment="1">
      <alignment horizontal="right" vertical="center"/>
    </xf>
    <xf numFmtId="184" fontId="9" fillId="0" borderId="31" xfId="1" applyNumberFormat="1" applyFont="1" applyFill="1" applyBorder="1" applyAlignment="1">
      <alignment horizontal="right" vertical="center"/>
    </xf>
    <xf numFmtId="184" fontId="9" fillId="0" borderId="75" xfId="1" applyNumberFormat="1" applyFont="1" applyFill="1" applyBorder="1" applyAlignment="1">
      <alignment horizontal="right" vertical="center"/>
    </xf>
    <xf numFmtId="184" fontId="9" fillId="0" borderId="76" xfId="1" applyNumberFormat="1" applyFont="1" applyFill="1" applyBorder="1" applyAlignment="1">
      <alignment horizontal="right" vertical="center"/>
    </xf>
    <xf numFmtId="184" fontId="8" fillId="0" borderId="77" xfId="4" applyNumberFormat="1" applyFont="1" applyBorder="1" applyAlignment="1">
      <alignment vertical="center"/>
    </xf>
    <xf numFmtId="38" fontId="9" fillId="0" borderId="15" xfId="1" applyFont="1" applyFill="1" applyBorder="1" applyAlignment="1">
      <alignment horizontal="distributed" vertical="center"/>
    </xf>
    <xf numFmtId="184" fontId="9" fillId="0" borderId="7" xfId="1" applyNumberFormat="1" applyFont="1" applyFill="1" applyBorder="1" applyAlignment="1">
      <alignment vertical="center"/>
    </xf>
    <xf numFmtId="184" fontId="9" fillId="0" borderId="23" xfId="1" applyNumberFormat="1" applyFont="1" applyFill="1" applyBorder="1" applyAlignment="1">
      <alignment vertical="center"/>
    </xf>
    <xf numFmtId="184" fontId="9" fillId="0" borderId="72" xfId="1" applyNumberFormat="1" applyFont="1" applyFill="1" applyBorder="1" applyAlignment="1">
      <alignment horizontal="right" vertical="center"/>
    </xf>
    <xf numFmtId="184" fontId="9" fillId="0" borderId="72" xfId="1" applyNumberFormat="1" applyFont="1" applyFill="1" applyBorder="1" applyAlignment="1">
      <alignment vertical="center"/>
    </xf>
    <xf numFmtId="185" fontId="9" fillId="0" borderId="73" xfId="1" applyNumberFormat="1" applyFont="1" applyFill="1" applyBorder="1" applyAlignment="1">
      <alignment vertical="center"/>
    </xf>
    <xf numFmtId="38" fontId="19" fillId="0" borderId="0" xfId="1" applyFont="1" applyFill="1" applyBorder="1" applyAlignment="1">
      <alignment vertical="center"/>
    </xf>
    <xf numFmtId="38" fontId="15" fillId="0" borderId="0" xfId="1" applyFont="1" applyFill="1" applyBorder="1" applyAlignment="1">
      <alignment vertical="center"/>
    </xf>
    <xf numFmtId="0" fontId="29" fillId="0" borderId="0" xfId="2" applyFont="1" applyAlignment="1">
      <alignment horizontal="left"/>
    </xf>
    <xf numFmtId="38" fontId="29" fillId="0" borderId="0" xfId="1" applyFont="1" applyFill="1" applyBorder="1" applyAlignment="1">
      <alignment vertical="center"/>
    </xf>
    <xf numFmtId="38" fontId="27" fillId="0" borderId="1" xfId="1" applyFont="1" applyFill="1" applyBorder="1" applyAlignment="1">
      <alignment vertical="center"/>
    </xf>
    <xf numFmtId="38" fontId="27" fillId="0" borderId="0" xfId="1" applyFont="1" applyFill="1" applyBorder="1" applyAlignment="1">
      <alignment horizontal="distributed" vertical="center"/>
    </xf>
    <xf numFmtId="184" fontId="27" fillId="0" borderId="0" xfId="1" applyNumberFormat="1" applyFont="1" applyFill="1" applyBorder="1" applyAlignment="1">
      <alignment vertical="center"/>
    </xf>
    <xf numFmtId="184" fontId="27" fillId="0" borderId="0" xfId="1" applyNumberFormat="1" applyFont="1" applyFill="1" applyBorder="1" applyAlignment="1">
      <alignment horizontal="right" vertical="center"/>
    </xf>
    <xf numFmtId="185" fontId="27" fillId="0" borderId="0" xfId="1" applyNumberFormat="1" applyFont="1" applyFill="1" applyBorder="1" applyAlignment="1">
      <alignment vertical="center"/>
    </xf>
    <xf numFmtId="0" fontId="24" fillId="0" borderId="0" xfId="0" applyFont="1" applyAlignment="1">
      <alignment vertical="center"/>
    </xf>
    <xf numFmtId="0" fontId="30" fillId="0" borderId="0" xfId="0" applyFont="1" applyAlignment="1">
      <alignment vertical="center"/>
    </xf>
    <xf numFmtId="0" fontId="15" fillId="0" borderId="0" xfId="0" applyFont="1" applyAlignment="1">
      <alignment horizontal="right" vertical="center"/>
    </xf>
    <xf numFmtId="0" fontId="27" fillId="0" borderId="0" xfId="0" applyFont="1" applyAlignment="1">
      <alignment vertical="center"/>
    </xf>
    <xf numFmtId="0" fontId="9" fillId="0" borderId="40" xfId="0" applyFont="1" applyBorder="1" applyAlignment="1">
      <alignment horizontal="center" vertical="center"/>
    </xf>
    <xf numFmtId="0" fontId="9" fillId="0" borderId="35" xfId="0" applyFont="1" applyBorder="1" applyAlignment="1">
      <alignment horizontal="center" vertical="center"/>
    </xf>
    <xf numFmtId="0" fontId="9" fillId="0" borderId="34" xfId="0" applyFont="1" applyBorder="1" applyAlignment="1">
      <alignment horizontal="center" vertical="center"/>
    </xf>
    <xf numFmtId="0" fontId="9" fillId="0" borderId="35" xfId="0" applyFont="1" applyBorder="1" applyAlignment="1">
      <alignment horizontal="distributed" vertical="center"/>
    </xf>
    <xf numFmtId="0" fontId="9" fillId="0" borderId="34" xfId="0" applyFont="1" applyBorder="1" applyAlignment="1">
      <alignment horizontal="distributed" vertical="center"/>
    </xf>
    <xf numFmtId="0" fontId="9" fillId="0" borderId="5" xfId="0" applyFont="1" applyBorder="1" applyAlignment="1">
      <alignment horizontal="distributed" vertical="center"/>
    </xf>
    <xf numFmtId="0" fontId="9" fillId="0" borderId="39" xfId="0" applyFont="1" applyBorder="1" applyAlignment="1">
      <alignment horizontal="distributed" vertical="center"/>
    </xf>
    <xf numFmtId="0" fontId="16" fillId="0" borderId="0" xfId="0" applyFont="1" applyAlignment="1">
      <alignment horizontal="center" vertical="center"/>
    </xf>
    <xf numFmtId="0" fontId="16" fillId="0" borderId="0" xfId="0" applyFont="1" applyAlignment="1">
      <alignment horizontal="distributed" vertical="center"/>
    </xf>
    <xf numFmtId="0" fontId="31" fillId="0" borderId="0" xfId="0" applyFont="1" applyAlignment="1">
      <alignment horizontal="distributed" vertical="center"/>
    </xf>
    <xf numFmtId="0" fontId="32" fillId="0" borderId="0" xfId="0" applyFont="1" applyAlignment="1">
      <alignment horizontal="left" vertical="center"/>
    </xf>
    <xf numFmtId="0" fontId="31" fillId="0" borderId="0" xfId="0" applyFont="1" applyAlignment="1">
      <alignment horizontal="center" vertical="center"/>
    </xf>
    <xf numFmtId="0" fontId="31" fillId="0" borderId="0" xfId="0" applyFont="1" applyAlignment="1">
      <alignment vertical="center"/>
    </xf>
    <xf numFmtId="0" fontId="9" fillId="0" borderId="41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31" xfId="0" applyFont="1" applyBorder="1" applyAlignment="1">
      <alignment horizontal="distributed" vertical="center"/>
    </xf>
    <xf numFmtId="0" fontId="9" fillId="0" borderId="9" xfId="0" applyFont="1" applyBorder="1" applyAlignment="1">
      <alignment horizontal="distributed" vertical="center"/>
    </xf>
    <xf numFmtId="0" fontId="9" fillId="0" borderId="32" xfId="0" applyFont="1" applyBorder="1" applyAlignment="1">
      <alignment horizontal="distributed" vertical="center"/>
    </xf>
    <xf numFmtId="0" fontId="9" fillId="0" borderId="25" xfId="0" applyFont="1" applyBorder="1" applyAlignment="1">
      <alignment horizontal="distributed" vertical="center"/>
    </xf>
    <xf numFmtId="0" fontId="9" fillId="0" borderId="2" xfId="0" applyFont="1" applyBorder="1" applyAlignment="1">
      <alignment horizontal="distributed" vertical="center"/>
    </xf>
    <xf numFmtId="176" fontId="9" fillId="0" borderId="0" xfId="0" applyNumberFormat="1" applyFont="1" applyAlignment="1">
      <alignment vertical="center"/>
    </xf>
    <xf numFmtId="176" fontId="27" fillId="0" borderId="0" xfId="0" applyNumberFormat="1" applyFont="1" applyAlignment="1">
      <alignment vertical="center"/>
    </xf>
    <xf numFmtId="176" fontId="9" fillId="0" borderId="0" xfId="0" applyNumberFormat="1" applyFont="1" applyAlignment="1">
      <alignment horizontal="right" vertical="center"/>
    </xf>
    <xf numFmtId="38" fontId="9" fillId="0" borderId="8" xfId="1" applyFont="1" applyFill="1" applyBorder="1" applyAlignment="1">
      <alignment horizontal="right" vertical="center"/>
    </xf>
    <xf numFmtId="0" fontId="16" fillId="0" borderId="0" xfId="0" applyFont="1" applyAlignment="1">
      <alignment vertical="center"/>
    </xf>
    <xf numFmtId="176" fontId="16" fillId="0" borderId="0" xfId="0" applyNumberFormat="1" applyFont="1" applyAlignment="1">
      <alignment vertical="center"/>
    </xf>
    <xf numFmtId="38" fontId="16" fillId="0" borderId="0" xfId="1" applyFont="1" applyFill="1" applyBorder="1" applyAlignment="1">
      <alignment vertical="center"/>
    </xf>
    <xf numFmtId="38" fontId="31" fillId="0" borderId="0" xfId="1" applyFont="1" applyFill="1" applyBorder="1" applyAlignment="1">
      <alignment vertical="center"/>
    </xf>
    <xf numFmtId="176" fontId="31" fillId="0" borderId="0" xfId="0" applyNumberFormat="1" applyFont="1" applyAlignment="1">
      <alignment vertical="center"/>
    </xf>
    <xf numFmtId="176" fontId="9" fillId="0" borderId="4" xfId="0" applyNumberFormat="1" applyFont="1" applyBorder="1" applyAlignment="1">
      <alignment vertical="center"/>
    </xf>
    <xf numFmtId="190" fontId="9" fillId="0" borderId="4" xfId="0" applyNumberFormat="1" applyFont="1" applyBorder="1" applyAlignment="1">
      <alignment horizontal="right" vertical="center"/>
    </xf>
    <xf numFmtId="186" fontId="9" fillId="0" borderId="3" xfId="1" applyNumberFormat="1" applyFont="1" applyFill="1" applyBorder="1" applyAlignment="1">
      <alignment vertical="center"/>
    </xf>
    <xf numFmtId="176" fontId="31" fillId="0" borderId="0" xfId="0" applyNumberFormat="1" applyFont="1" applyAlignment="1">
      <alignment horizontal="right" vertical="center"/>
    </xf>
    <xf numFmtId="38" fontId="31" fillId="0" borderId="0" xfId="1" applyFont="1" applyFill="1" applyBorder="1" applyAlignment="1">
      <alignment horizontal="right" vertical="center"/>
    </xf>
    <xf numFmtId="0" fontId="32" fillId="0" borderId="0" xfId="0" applyFont="1" applyAlignment="1">
      <alignment vertical="center"/>
    </xf>
    <xf numFmtId="176" fontId="32" fillId="0" borderId="0" xfId="0" applyNumberFormat="1" applyFont="1" applyAlignment="1">
      <alignment vertical="center"/>
    </xf>
    <xf numFmtId="38" fontId="32" fillId="0" borderId="0" xfId="1" applyFont="1" applyFill="1" applyBorder="1" applyAlignment="1">
      <alignment vertical="center"/>
    </xf>
    <xf numFmtId="0" fontId="33" fillId="0" borderId="0" xfId="0" applyFont="1" applyAlignment="1">
      <alignment vertical="center"/>
    </xf>
    <xf numFmtId="176" fontId="33" fillId="0" borderId="0" xfId="0" applyNumberFormat="1" applyFont="1" applyAlignment="1">
      <alignment vertical="center"/>
    </xf>
    <xf numFmtId="38" fontId="33" fillId="0" borderId="0" xfId="1" applyFont="1" applyFill="1" applyBorder="1" applyAlignment="1">
      <alignment vertical="center"/>
    </xf>
    <xf numFmtId="176" fontId="9" fillId="0" borderId="0" xfId="0" applyNumberFormat="1" applyFont="1" applyBorder="1" applyAlignment="1">
      <alignment horizontal="right" vertical="center"/>
    </xf>
    <xf numFmtId="0" fontId="9" fillId="0" borderId="26" xfId="0" applyFont="1" applyBorder="1" applyAlignment="1">
      <alignment horizontal="distributed" vertical="center"/>
    </xf>
    <xf numFmtId="176" fontId="9" fillId="0" borderId="23" xfId="0" applyNumberFormat="1" applyFont="1" applyBorder="1" applyAlignment="1">
      <alignment vertical="center"/>
    </xf>
    <xf numFmtId="38" fontId="9" fillId="0" borderId="15" xfId="1" applyFont="1" applyFill="1" applyBorder="1" applyAlignment="1">
      <alignment vertical="center"/>
    </xf>
    <xf numFmtId="190" fontId="9" fillId="0" borderId="23" xfId="0" applyNumberFormat="1" applyFont="1" applyBorder="1" applyAlignment="1">
      <alignment horizontal="right" vertical="center"/>
    </xf>
    <xf numFmtId="186" fontId="9" fillId="0" borderId="15" xfId="1" applyNumberFormat="1" applyFont="1" applyFill="1" applyBorder="1" applyAlignment="1">
      <alignment vertical="center"/>
    </xf>
    <xf numFmtId="176" fontId="9" fillId="0" borderId="24" xfId="0" applyNumberFormat="1" applyFont="1" applyBorder="1" applyAlignment="1">
      <alignment horizontal="right" vertical="center"/>
    </xf>
    <xf numFmtId="38" fontId="9" fillId="0" borderId="22" xfId="1" applyFont="1" applyFill="1" applyBorder="1" applyAlignment="1">
      <alignment horizontal="right" vertical="center"/>
    </xf>
    <xf numFmtId="0" fontId="19" fillId="0" borderId="0" xfId="0" applyFont="1" applyAlignment="1">
      <alignment horizontal="right" vertical="center"/>
    </xf>
    <xf numFmtId="0" fontId="15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23" fillId="0" borderId="0" xfId="0" applyFont="1" applyAlignment="1">
      <alignment vertical="center"/>
    </xf>
    <xf numFmtId="190" fontId="9" fillId="0" borderId="4" xfId="0" applyNumberFormat="1" applyFont="1" applyBorder="1" applyAlignment="1">
      <alignment vertical="center"/>
    </xf>
    <xf numFmtId="189" fontId="9" fillId="0" borderId="3" xfId="1" applyNumberFormat="1" applyFont="1" applyFill="1" applyBorder="1" applyAlignment="1">
      <alignment vertical="center"/>
    </xf>
    <xf numFmtId="190" fontId="9" fillId="0" borderId="0" xfId="0" applyNumberFormat="1" applyFont="1" applyAlignment="1">
      <alignment horizontal="right" vertical="center"/>
    </xf>
    <xf numFmtId="189" fontId="9" fillId="0" borderId="3" xfId="1" applyNumberFormat="1" applyFont="1" applyFill="1" applyBorder="1" applyAlignment="1">
      <alignment horizontal="right" vertical="center"/>
    </xf>
    <xf numFmtId="190" fontId="9" fillId="0" borderId="0" xfId="0" applyNumberFormat="1" applyFont="1" applyAlignment="1">
      <alignment vertical="center"/>
    </xf>
    <xf numFmtId="189" fontId="9" fillId="0" borderId="3" xfId="0" applyNumberFormat="1" applyFont="1" applyBorder="1" applyAlignment="1">
      <alignment horizontal="right" vertical="center"/>
    </xf>
    <xf numFmtId="189" fontId="9" fillId="0" borderId="8" xfId="1" applyNumberFormat="1" applyFont="1" applyFill="1" applyBorder="1" applyAlignment="1">
      <alignment horizontal="right" vertical="center"/>
    </xf>
    <xf numFmtId="0" fontId="9" fillId="0" borderId="1" xfId="0" applyFont="1" applyBorder="1" applyAlignment="1">
      <alignment horizontal="distributed" vertical="center"/>
    </xf>
    <xf numFmtId="189" fontId="9" fillId="0" borderId="0" xfId="1" applyNumberFormat="1" applyFont="1" applyFill="1" applyBorder="1" applyAlignment="1">
      <alignment vertical="center"/>
    </xf>
    <xf numFmtId="189" fontId="9" fillId="0" borderId="0" xfId="1" applyNumberFormat="1" applyFont="1" applyFill="1" applyBorder="1" applyAlignment="1">
      <alignment horizontal="right" vertical="center"/>
    </xf>
    <xf numFmtId="189" fontId="9" fillId="0" borderId="8" xfId="1" applyNumberFormat="1" applyFont="1" applyFill="1" applyBorder="1" applyAlignment="1">
      <alignment vertical="center"/>
    </xf>
    <xf numFmtId="186" fontId="9" fillId="0" borderId="3" xfId="1" applyNumberFormat="1" applyFont="1" applyFill="1" applyBorder="1" applyAlignment="1">
      <alignment horizontal="right" vertical="center"/>
    </xf>
    <xf numFmtId="186" fontId="9" fillId="0" borderId="3" xfId="0" applyNumberFormat="1" applyFont="1" applyBorder="1" applyAlignment="1">
      <alignment horizontal="right" vertical="center"/>
    </xf>
    <xf numFmtId="188" fontId="9" fillId="0" borderId="8" xfId="1" applyNumberFormat="1" applyFont="1" applyFill="1" applyBorder="1" applyAlignment="1">
      <alignment horizontal="right" vertical="center"/>
    </xf>
    <xf numFmtId="186" fontId="9" fillId="0" borderId="0" xfId="1" applyNumberFormat="1" applyFont="1" applyFill="1" applyBorder="1" applyAlignment="1">
      <alignment vertical="center"/>
    </xf>
    <xf numFmtId="186" fontId="9" fillId="0" borderId="0" xfId="1" applyNumberFormat="1" applyFont="1" applyFill="1" applyBorder="1" applyAlignment="1">
      <alignment horizontal="right" vertical="center"/>
    </xf>
    <xf numFmtId="188" fontId="9" fillId="0" borderId="8" xfId="1" applyNumberFormat="1" applyFont="1" applyFill="1" applyBorder="1" applyAlignment="1">
      <alignment vertical="center"/>
    </xf>
    <xf numFmtId="0" fontId="8" fillId="0" borderId="26" xfId="0" applyFont="1" applyBorder="1" applyAlignment="1">
      <alignment horizontal="distributed" vertical="center"/>
    </xf>
    <xf numFmtId="190" fontId="8" fillId="0" borderId="23" xfId="0" applyNumberFormat="1" applyFont="1" applyBorder="1" applyAlignment="1">
      <alignment vertical="center"/>
    </xf>
    <xf numFmtId="189" fontId="8" fillId="0" borderId="15" xfId="1" applyNumberFormat="1" applyFont="1" applyFill="1" applyBorder="1" applyAlignment="1">
      <alignment vertical="center"/>
    </xf>
    <xf numFmtId="190" fontId="8" fillId="0" borderId="24" xfId="0" applyNumberFormat="1" applyFont="1" applyBorder="1" applyAlignment="1">
      <alignment vertical="center"/>
    </xf>
    <xf numFmtId="186" fontId="8" fillId="0" borderId="15" xfId="1" applyNumberFormat="1" applyFont="1" applyFill="1" applyBorder="1" applyAlignment="1">
      <alignment vertical="center"/>
    </xf>
    <xf numFmtId="190" fontId="8" fillId="0" borderId="24" xfId="0" applyNumberFormat="1" applyFont="1" applyBorder="1" applyAlignment="1">
      <alignment horizontal="right" vertical="center"/>
    </xf>
    <xf numFmtId="186" fontId="8" fillId="0" borderId="15" xfId="1" applyNumberFormat="1" applyFont="1" applyFill="1" applyBorder="1" applyAlignment="1">
      <alignment horizontal="right" vertical="center"/>
    </xf>
    <xf numFmtId="190" fontId="8" fillId="0" borderId="23" xfId="0" applyNumberFormat="1" applyFont="1" applyBorder="1" applyAlignment="1">
      <alignment horizontal="right" vertical="center"/>
    </xf>
    <xf numFmtId="188" fontId="8" fillId="0" borderId="22" xfId="1" applyNumberFormat="1" applyFont="1" applyFill="1" applyBorder="1" applyAlignment="1">
      <alignment vertical="center"/>
    </xf>
    <xf numFmtId="0" fontId="12" fillId="0" borderId="0" xfId="3" applyFont="1" applyAlignment="1">
      <alignment vertical="center"/>
    </xf>
    <xf numFmtId="0" fontId="24" fillId="0" borderId="0" xfId="3" applyFont="1" applyAlignment="1">
      <alignment vertical="center"/>
    </xf>
    <xf numFmtId="176" fontId="13" fillId="0" borderId="0" xfId="1" applyNumberFormat="1" applyFont="1" applyFill="1" applyAlignment="1">
      <alignment vertical="center"/>
    </xf>
    <xf numFmtId="38" fontId="13" fillId="0" borderId="0" xfId="1" applyFont="1" applyFill="1" applyAlignment="1">
      <alignment vertical="center"/>
    </xf>
    <xf numFmtId="38" fontId="13" fillId="0" borderId="0" xfId="1" applyFont="1" applyFill="1" applyBorder="1" applyAlignment="1">
      <alignment vertical="center"/>
    </xf>
    <xf numFmtId="177" fontId="13" fillId="0" borderId="0" xfId="1" applyNumberFormat="1" applyFont="1" applyFill="1" applyAlignment="1">
      <alignment vertical="center"/>
    </xf>
    <xf numFmtId="38" fontId="30" fillId="0" borderId="0" xfId="1" applyFont="1" applyFill="1" applyAlignment="1">
      <alignment vertical="center"/>
    </xf>
    <xf numFmtId="0" fontId="30" fillId="0" borderId="0" xfId="3" applyFont="1" applyAlignment="1">
      <alignment vertical="center"/>
    </xf>
    <xf numFmtId="0" fontId="9" fillId="0" borderId="0" xfId="3" applyFont="1" applyAlignment="1">
      <alignment vertical="center"/>
    </xf>
    <xf numFmtId="176" fontId="9" fillId="0" borderId="0" xfId="1" applyNumberFormat="1" applyFont="1" applyFill="1" applyBorder="1" applyAlignment="1">
      <alignment vertical="center"/>
    </xf>
    <xf numFmtId="177" fontId="15" fillId="0" borderId="0" xfId="1" applyNumberFormat="1" applyFont="1" applyFill="1" applyAlignment="1">
      <alignment horizontal="right" vertical="center"/>
    </xf>
    <xf numFmtId="177" fontId="9" fillId="0" borderId="0" xfId="1" applyNumberFormat="1" applyFont="1" applyFill="1" applyAlignment="1">
      <alignment vertical="center"/>
    </xf>
    <xf numFmtId="38" fontId="27" fillId="0" borderId="0" xfId="1" applyFont="1" applyFill="1" applyAlignment="1">
      <alignment vertical="center"/>
    </xf>
    <xf numFmtId="0" fontId="27" fillId="0" borderId="0" xfId="3" applyFont="1" applyAlignment="1">
      <alignment vertical="center"/>
    </xf>
    <xf numFmtId="0" fontId="9" fillId="0" borderId="33" xfId="3" applyFont="1" applyBorder="1" applyAlignment="1">
      <alignment horizontal="center" vertical="center"/>
    </xf>
    <xf numFmtId="0" fontId="18" fillId="0" borderId="34" xfId="0" applyFont="1" applyBorder="1" applyAlignment="1">
      <alignment horizontal="center" vertical="center"/>
    </xf>
    <xf numFmtId="38" fontId="9" fillId="0" borderId="91" xfId="1" applyFont="1" applyFill="1" applyBorder="1" applyAlignment="1">
      <alignment horizontal="center" vertical="center"/>
    </xf>
    <xf numFmtId="176" fontId="9" fillId="0" borderId="83" xfId="1" applyNumberFormat="1" applyFont="1" applyFill="1" applyBorder="1" applyAlignment="1">
      <alignment horizontal="center" vertical="center"/>
    </xf>
    <xf numFmtId="38" fontId="9" fillId="0" borderId="83" xfId="1" applyFont="1" applyFill="1" applyBorder="1" applyAlignment="1">
      <alignment horizontal="center" vertical="center"/>
    </xf>
    <xf numFmtId="38" fontId="9" fillId="0" borderId="84" xfId="1" applyFont="1" applyFill="1" applyBorder="1" applyAlignment="1">
      <alignment horizontal="center" vertical="center"/>
    </xf>
    <xf numFmtId="177" fontId="9" fillId="0" borderId="0" xfId="1" applyNumberFormat="1" applyFont="1" applyFill="1" applyBorder="1" applyAlignment="1">
      <alignment horizontal="centerContinuous" vertical="center"/>
    </xf>
    <xf numFmtId="0" fontId="18" fillId="0" borderId="16" xfId="0" applyFont="1" applyBorder="1" applyAlignment="1">
      <alignment horizontal="center" vertical="center"/>
    </xf>
    <xf numFmtId="0" fontId="18" fillId="0" borderId="9" xfId="0" applyFont="1" applyBorder="1" applyAlignment="1">
      <alignment horizontal="center" vertical="center"/>
    </xf>
    <xf numFmtId="0" fontId="18" fillId="0" borderId="92" xfId="0" applyFont="1" applyBorder="1" applyAlignment="1">
      <alignment vertical="center"/>
    </xf>
    <xf numFmtId="38" fontId="9" fillId="0" borderId="75" xfId="1" applyFont="1" applyFill="1" applyBorder="1" applyAlignment="1">
      <alignment horizontal="center" vertical="center" shrinkToFit="1"/>
    </xf>
    <xf numFmtId="38" fontId="9" fillId="0" borderId="75" xfId="1" applyFont="1" applyFill="1" applyBorder="1" applyAlignment="1">
      <alignment horizontal="center" vertical="center" shrinkToFit="1"/>
    </xf>
    <xf numFmtId="177" fontId="9" fillId="0" borderId="76" xfId="1" applyNumberFormat="1" applyFont="1" applyFill="1" applyBorder="1" applyAlignment="1">
      <alignment horizontal="center" vertical="center" shrinkToFit="1"/>
    </xf>
    <xf numFmtId="177" fontId="9" fillId="0" borderId="0" xfId="1" applyNumberFormat="1" applyFont="1" applyFill="1" applyBorder="1" applyAlignment="1">
      <alignment vertical="center"/>
    </xf>
    <xf numFmtId="0" fontId="8" fillId="0" borderId="12" xfId="3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196" fontId="8" fillId="0" borderId="65" xfId="1" applyNumberFormat="1" applyFont="1" applyFill="1" applyBorder="1" applyAlignment="1">
      <alignment horizontal="right" vertical="center"/>
    </xf>
    <xf numFmtId="177" fontId="34" fillId="0" borderId="0" xfId="1" applyNumberFormat="1" applyFont="1" applyFill="1" applyBorder="1" applyAlignment="1">
      <alignment vertical="center"/>
    </xf>
    <xf numFmtId="0" fontId="25" fillId="0" borderId="0" xfId="3" applyFont="1" applyAlignment="1">
      <alignment vertical="center"/>
    </xf>
    <xf numFmtId="0" fontId="8" fillId="0" borderId="30" xfId="3" applyFont="1" applyBorder="1" applyAlignment="1">
      <alignment vertical="center"/>
    </xf>
    <xf numFmtId="0" fontId="8" fillId="0" borderId="28" xfId="0" applyFont="1" applyBorder="1" applyAlignment="1">
      <alignment vertical="center"/>
    </xf>
    <xf numFmtId="186" fontId="8" fillId="0" borderId="93" xfId="1" applyNumberFormat="1" applyFont="1" applyFill="1" applyBorder="1" applyAlignment="1">
      <alignment vertical="center"/>
    </xf>
    <xf numFmtId="0" fontId="8" fillId="0" borderId="1" xfId="3" applyFont="1" applyBorder="1" applyAlignment="1">
      <alignment horizontal="center" vertical="center" shrinkToFit="1"/>
    </xf>
    <xf numFmtId="0" fontId="8" fillId="0" borderId="3" xfId="3" applyFont="1" applyBorder="1" applyAlignment="1">
      <alignment horizontal="center" vertical="center" shrinkToFit="1"/>
    </xf>
    <xf numFmtId="186" fontId="8" fillId="0" borderId="68" xfId="3" applyNumberFormat="1" applyFont="1" applyBorder="1" applyAlignment="1">
      <alignment vertical="center"/>
    </xf>
    <xf numFmtId="0" fontId="9" fillId="0" borderId="1" xfId="3" applyFont="1" applyBorder="1" applyAlignment="1">
      <alignment vertical="center"/>
    </xf>
    <xf numFmtId="0" fontId="9" fillId="0" borderId="3" xfId="3" applyFont="1" applyBorder="1" applyAlignment="1">
      <alignment horizontal="distributed" vertical="center"/>
    </xf>
    <xf numFmtId="186" fontId="9" fillId="0" borderId="68" xfId="1" applyNumberFormat="1" applyFont="1" applyFill="1" applyBorder="1" applyAlignment="1">
      <alignment vertical="center"/>
    </xf>
    <xf numFmtId="0" fontId="8" fillId="0" borderId="30" xfId="3" applyFont="1" applyBorder="1" applyAlignment="1">
      <alignment vertical="center"/>
    </xf>
    <xf numFmtId="0" fontId="8" fillId="0" borderId="28" xfId="0" applyFont="1" applyBorder="1" applyAlignment="1">
      <alignment vertical="center"/>
    </xf>
    <xf numFmtId="186" fontId="8" fillId="0" borderId="93" xfId="1" applyNumberFormat="1" applyFont="1" applyFill="1" applyBorder="1" applyAlignment="1">
      <alignment horizontal="right" vertical="center"/>
    </xf>
    <xf numFmtId="0" fontId="8" fillId="0" borderId="1" xfId="3" applyFont="1" applyBorder="1" applyAlignment="1">
      <alignment horizontal="distributed" vertical="center"/>
    </xf>
    <xf numFmtId="177" fontId="11" fillId="0" borderId="0" xfId="1" applyNumberFormat="1" applyFont="1" applyFill="1" applyBorder="1" applyAlignment="1">
      <alignment vertical="center"/>
    </xf>
    <xf numFmtId="177" fontId="35" fillId="0" borderId="0" xfId="1" applyNumberFormat="1" applyFont="1" applyFill="1" applyBorder="1" applyAlignment="1">
      <alignment vertical="center"/>
    </xf>
    <xf numFmtId="176" fontId="11" fillId="0" borderId="0" xfId="1" applyNumberFormat="1" applyFont="1" applyFill="1" applyBorder="1" applyAlignment="1">
      <alignment vertical="center"/>
    </xf>
    <xf numFmtId="0" fontId="9" fillId="0" borderId="14" xfId="3" applyFont="1" applyBorder="1" applyAlignment="1">
      <alignment vertical="center"/>
    </xf>
    <xf numFmtId="0" fontId="9" fillId="0" borderId="15" xfId="3" applyFont="1" applyBorder="1" applyAlignment="1">
      <alignment horizontal="distributed" vertical="center"/>
    </xf>
    <xf numFmtId="186" fontId="9" fillId="0" borderId="71" xfId="1" applyNumberFormat="1" applyFont="1" applyFill="1" applyBorder="1" applyAlignment="1">
      <alignment vertical="center"/>
    </xf>
    <xf numFmtId="186" fontId="9" fillId="0" borderId="72" xfId="3" applyNumberFormat="1" applyFont="1" applyBorder="1" applyAlignment="1">
      <alignment vertical="center"/>
    </xf>
    <xf numFmtId="187" fontId="9" fillId="0" borderId="72" xfId="3" applyNumberFormat="1" applyFont="1" applyBorder="1" applyAlignment="1">
      <alignment vertical="center"/>
    </xf>
    <xf numFmtId="186" fontId="9" fillId="0" borderId="72" xfId="1" applyNumberFormat="1" applyFont="1" applyFill="1" applyBorder="1" applyAlignment="1">
      <alignment vertical="center"/>
    </xf>
    <xf numFmtId="188" fontId="10" fillId="0" borderId="73" xfId="1" applyNumberFormat="1" applyFont="1" applyFill="1" applyBorder="1" applyAlignment="1">
      <alignment vertical="center"/>
    </xf>
    <xf numFmtId="0" fontId="19" fillId="0" borderId="0" xfId="3" applyFont="1" applyAlignment="1">
      <alignment vertical="center"/>
    </xf>
    <xf numFmtId="176" fontId="9" fillId="0" borderId="0" xfId="1" applyNumberFormat="1" applyFont="1" applyFill="1" applyAlignment="1">
      <alignment vertical="center"/>
    </xf>
    <xf numFmtId="0" fontId="19" fillId="0" borderId="0" xfId="3" applyFont="1" applyAlignment="1">
      <alignment horizontal="right" vertical="center"/>
    </xf>
    <xf numFmtId="0" fontId="15" fillId="0" borderId="0" xfId="3" applyFont="1" applyAlignment="1">
      <alignment vertical="center"/>
    </xf>
  </cellXfs>
  <cellStyles count="6">
    <cellStyle name="桁区切り" xfId="5" builtinId="6"/>
    <cellStyle name="桁区切り 2" xfId="1" xr:uid="{00000000-0005-0000-0000-000001000000}"/>
    <cellStyle name="標準" xfId="0" builtinId="0"/>
    <cellStyle name="標準_Ｈ７実績" xfId="2" xr:uid="{00000000-0005-0000-0000-000003000000}"/>
    <cellStyle name="標準_Ｈ７実績 2" xfId="3" xr:uid="{00000000-0005-0000-0000-000004000000}"/>
    <cellStyle name="標準_Ｈ８林業統計書" xfId="4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自動車道の開設実績累計と現況</a:t>
            </a:r>
          </a:p>
        </c:rich>
      </c:tx>
      <c:layout>
        <c:manualLayout>
          <c:xMode val="edge"/>
          <c:yMode val="edge"/>
          <c:x val="0.31084358899581999"/>
          <c:y val="1.176477940257467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0602422113166078"/>
          <c:y val="7.8431522731929257E-2"/>
          <c:w val="0.88433838989362512"/>
          <c:h val="0.82941335289015183"/>
        </c:manualLayout>
      </c:layout>
      <c:lineChart>
        <c:grouping val="stacked"/>
        <c:varyColors val="0"/>
        <c:ser>
          <c:idx val="1"/>
          <c:order val="0"/>
          <c:tx>
            <c:strRef>
              <c:f>'【39P】4-1林道網整備計画'!$D$60</c:f>
              <c:strCache>
                <c:ptCount val="1"/>
                <c:pt idx="0">
                  <c:v>開設累計</c:v>
                </c:pt>
              </c:strCache>
            </c:strRef>
          </c:tx>
          <c:spPr>
            <a:ln w="9525">
              <a:solidFill>
                <a:srgbClr val="000000"/>
              </a:solidFill>
              <a:prstDash val="solid"/>
            </a:ln>
          </c:spPr>
          <c:marker>
            <c:symbol val="square"/>
            <c:size val="4"/>
            <c:spPr>
              <a:solidFill>
                <a:schemeClr val="tx1">
                  <a:lumMod val="50000"/>
                  <a:lumOff val="50000"/>
                </a:schemeClr>
              </a:solidFill>
              <a:ln w="0">
                <a:solidFill>
                  <a:schemeClr val="tx1">
                    <a:lumMod val="50000"/>
                    <a:lumOff val="50000"/>
                  </a:schemeClr>
                </a:solidFill>
                <a:prstDash val="solid"/>
              </a:ln>
            </c:spPr>
          </c:marker>
          <c:cat>
            <c:strRef>
              <c:f>'【39P】4-1林道網整備計画'!$C$73:$C$101</c:f>
              <c:strCache>
                <c:ptCount val="29"/>
                <c:pt idx="0">
                  <c:v>6</c:v>
                </c:pt>
                <c:pt idx="1">
                  <c:v>7</c:v>
                </c:pt>
                <c:pt idx="2">
                  <c:v>8</c:v>
                </c:pt>
                <c:pt idx="3">
                  <c:v>9</c:v>
                </c:pt>
                <c:pt idx="4">
                  <c:v>10</c:v>
                </c:pt>
                <c:pt idx="5">
                  <c:v>11</c:v>
                </c:pt>
                <c:pt idx="6">
                  <c:v>12</c:v>
                </c:pt>
                <c:pt idx="7">
                  <c:v>13</c:v>
                </c:pt>
                <c:pt idx="8">
                  <c:v>14</c:v>
                </c:pt>
                <c:pt idx="9">
                  <c:v>15</c:v>
                </c:pt>
                <c:pt idx="10">
                  <c:v>16</c:v>
                </c:pt>
                <c:pt idx="11">
                  <c:v>17</c:v>
                </c:pt>
                <c:pt idx="12">
                  <c:v>18</c:v>
                </c:pt>
                <c:pt idx="13">
                  <c:v>19</c:v>
                </c:pt>
                <c:pt idx="14">
                  <c:v>20</c:v>
                </c:pt>
                <c:pt idx="15">
                  <c:v>21</c:v>
                </c:pt>
                <c:pt idx="16">
                  <c:v>22</c:v>
                </c:pt>
                <c:pt idx="17">
                  <c:v>23</c:v>
                </c:pt>
                <c:pt idx="18">
                  <c:v>24</c:v>
                </c:pt>
                <c:pt idx="19">
                  <c:v>25</c:v>
                </c:pt>
                <c:pt idx="20">
                  <c:v>26</c:v>
                </c:pt>
                <c:pt idx="21">
                  <c:v>27</c:v>
                </c:pt>
                <c:pt idx="22">
                  <c:v>28</c:v>
                </c:pt>
                <c:pt idx="23">
                  <c:v>29</c:v>
                </c:pt>
                <c:pt idx="24">
                  <c:v>30</c:v>
                </c:pt>
                <c:pt idx="25">
                  <c:v>R1</c:v>
                </c:pt>
                <c:pt idx="26">
                  <c:v>R2</c:v>
                </c:pt>
                <c:pt idx="27">
                  <c:v>R3</c:v>
                </c:pt>
                <c:pt idx="28">
                  <c:v>R4</c:v>
                </c:pt>
              </c:strCache>
            </c:strRef>
          </c:cat>
          <c:val>
            <c:numRef>
              <c:f>'【39P】4-1林道網整備計画'!$D$73:$D$101</c:f>
              <c:numCache>
                <c:formatCode>#,##0_);[Red]\(#,##0\)</c:formatCode>
                <c:ptCount val="29"/>
                <c:pt idx="0">
                  <c:v>2160</c:v>
                </c:pt>
                <c:pt idx="1">
                  <c:v>2192</c:v>
                </c:pt>
                <c:pt idx="2">
                  <c:v>2215</c:v>
                </c:pt>
                <c:pt idx="3">
                  <c:v>2237</c:v>
                </c:pt>
                <c:pt idx="4">
                  <c:v>2255</c:v>
                </c:pt>
                <c:pt idx="5">
                  <c:v>2278</c:v>
                </c:pt>
                <c:pt idx="6">
                  <c:v>2301</c:v>
                </c:pt>
                <c:pt idx="7">
                  <c:v>2317</c:v>
                </c:pt>
                <c:pt idx="8">
                  <c:v>2328</c:v>
                </c:pt>
                <c:pt idx="9">
                  <c:v>2340</c:v>
                </c:pt>
                <c:pt idx="10">
                  <c:v>2349</c:v>
                </c:pt>
                <c:pt idx="11">
                  <c:v>2362</c:v>
                </c:pt>
                <c:pt idx="12">
                  <c:v>2375</c:v>
                </c:pt>
                <c:pt idx="13">
                  <c:v>2382</c:v>
                </c:pt>
                <c:pt idx="14">
                  <c:v>2390</c:v>
                </c:pt>
                <c:pt idx="15">
                  <c:v>2408</c:v>
                </c:pt>
                <c:pt idx="16">
                  <c:v>2417</c:v>
                </c:pt>
                <c:pt idx="17">
                  <c:v>2423</c:v>
                </c:pt>
                <c:pt idx="18">
                  <c:v>2432</c:v>
                </c:pt>
                <c:pt idx="19">
                  <c:v>2439</c:v>
                </c:pt>
                <c:pt idx="20">
                  <c:v>2448</c:v>
                </c:pt>
                <c:pt idx="21">
                  <c:v>2454</c:v>
                </c:pt>
                <c:pt idx="22">
                  <c:v>2458</c:v>
                </c:pt>
                <c:pt idx="23">
                  <c:v>2466</c:v>
                </c:pt>
                <c:pt idx="24">
                  <c:v>2476</c:v>
                </c:pt>
                <c:pt idx="25">
                  <c:v>2480</c:v>
                </c:pt>
                <c:pt idx="26">
                  <c:v>2484</c:v>
                </c:pt>
                <c:pt idx="27">
                  <c:v>2487</c:v>
                </c:pt>
                <c:pt idx="28">
                  <c:v>2490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F-4B6D-B347-E8380AF42E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0397344"/>
        <c:axId val="180398912"/>
      </c:lineChart>
      <c:lineChart>
        <c:grouping val="standard"/>
        <c:varyColors val="0"/>
        <c:ser>
          <c:idx val="2"/>
          <c:order val="1"/>
          <c:tx>
            <c:strRef>
              <c:f>'【39P】4-1林道網整備計画'!$E$60</c:f>
              <c:strCache>
                <c:ptCount val="1"/>
                <c:pt idx="0">
                  <c:v>現況延長</c:v>
                </c:pt>
              </c:strCache>
            </c:strRef>
          </c:tx>
          <c:spPr>
            <a:ln w="9525">
              <a:solidFill>
                <a:schemeClr val="tx1">
                  <a:lumMod val="50000"/>
                  <a:lumOff val="50000"/>
                </a:schemeClr>
              </a:solidFill>
              <a:prstDash val="solid"/>
            </a:ln>
          </c:spPr>
          <c:marker>
            <c:symbol val="triangle"/>
            <c:size val="5"/>
            <c:spPr>
              <a:gradFill>
                <a:gsLst>
                  <a:gs pos="0">
                    <a:schemeClr val="accent1">
                      <a:tint val="66000"/>
                      <a:satMod val="160000"/>
                    </a:schemeClr>
                  </a:gs>
                  <a:gs pos="50000">
                    <a:schemeClr val="accent1">
                      <a:tint val="44500"/>
                      <a:satMod val="160000"/>
                    </a:schemeClr>
                  </a:gs>
                  <a:gs pos="100000">
                    <a:schemeClr val="accent1">
                      <a:tint val="23500"/>
                      <a:satMod val="160000"/>
                    </a:schemeClr>
                  </a:gs>
                </a:gsLst>
                <a:lin ang="5400000" scaled="0"/>
              </a:gradFill>
              <a:ln w="6350">
                <a:solidFill>
                  <a:schemeClr val="bg1">
                    <a:lumMod val="50000"/>
                  </a:schemeClr>
                </a:solidFill>
                <a:prstDash val="solid"/>
              </a:ln>
            </c:spPr>
          </c:marker>
          <c:cat>
            <c:strRef>
              <c:f>'【39P】4-1林道網整備計画'!$C$73:$C$101</c:f>
              <c:strCache>
                <c:ptCount val="29"/>
                <c:pt idx="0">
                  <c:v>6</c:v>
                </c:pt>
                <c:pt idx="1">
                  <c:v>7</c:v>
                </c:pt>
                <c:pt idx="2">
                  <c:v>8</c:v>
                </c:pt>
                <c:pt idx="3">
                  <c:v>9</c:v>
                </c:pt>
                <c:pt idx="4">
                  <c:v>10</c:v>
                </c:pt>
                <c:pt idx="5">
                  <c:v>11</c:v>
                </c:pt>
                <c:pt idx="6">
                  <c:v>12</c:v>
                </c:pt>
                <c:pt idx="7">
                  <c:v>13</c:v>
                </c:pt>
                <c:pt idx="8">
                  <c:v>14</c:v>
                </c:pt>
                <c:pt idx="9">
                  <c:v>15</c:v>
                </c:pt>
                <c:pt idx="10">
                  <c:v>16</c:v>
                </c:pt>
                <c:pt idx="11">
                  <c:v>17</c:v>
                </c:pt>
                <c:pt idx="12">
                  <c:v>18</c:v>
                </c:pt>
                <c:pt idx="13">
                  <c:v>19</c:v>
                </c:pt>
                <c:pt idx="14">
                  <c:v>20</c:v>
                </c:pt>
                <c:pt idx="15">
                  <c:v>21</c:v>
                </c:pt>
                <c:pt idx="16">
                  <c:v>22</c:v>
                </c:pt>
                <c:pt idx="17">
                  <c:v>23</c:v>
                </c:pt>
                <c:pt idx="18">
                  <c:v>24</c:v>
                </c:pt>
                <c:pt idx="19">
                  <c:v>25</c:v>
                </c:pt>
                <c:pt idx="20">
                  <c:v>26</c:v>
                </c:pt>
                <c:pt idx="21">
                  <c:v>27</c:v>
                </c:pt>
                <c:pt idx="22">
                  <c:v>28</c:v>
                </c:pt>
                <c:pt idx="23">
                  <c:v>29</c:v>
                </c:pt>
                <c:pt idx="24">
                  <c:v>30</c:v>
                </c:pt>
                <c:pt idx="25">
                  <c:v>R1</c:v>
                </c:pt>
                <c:pt idx="26">
                  <c:v>R2</c:v>
                </c:pt>
                <c:pt idx="27">
                  <c:v>R3</c:v>
                </c:pt>
                <c:pt idx="28">
                  <c:v>R4</c:v>
                </c:pt>
              </c:strCache>
            </c:strRef>
          </c:cat>
          <c:val>
            <c:numRef>
              <c:f>'【39P】4-1林道網整備計画'!$E$73:$E$101</c:f>
              <c:numCache>
                <c:formatCode>#,##0_);[Red]\(#,##0\)</c:formatCode>
                <c:ptCount val="29"/>
                <c:pt idx="0">
                  <c:v>1610</c:v>
                </c:pt>
                <c:pt idx="1">
                  <c:v>1562</c:v>
                </c:pt>
                <c:pt idx="2">
                  <c:v>1478</c:v>
                </c:pt>
                <c:pt idx="3">
                  <c:v>1501</c:v>
                </c:pt>
                <c:pt idx="4">
                  <c:v>1522</c:v>
                </c:pt>
                <c:pt idx="5">
                  <c:v>1539</c:v>
                </c:pt>
                <c:pt idx="6">
                  <c:v>1554</c:v>
                </c:pt>
                <c:pt idx="7">
                  <c:v>1558</c:v>
                </c:pt>
                <c:pt idx="8">
                  <c:v>1564</c:v>
                </c:pt>
                <c:pt idx="9">
                  <c:v>1575</c:v>
                </c:pt>
                <c:pt idx="10">
                  <c:v>1585</c:v>
                </c:pt>
                <c:pt idx="11">
                  <c:v>1596</c:v>
                </c:pt>
                <c:pt idx="12">
                  <c:v>1610</c:v>
                </c:pt>
                <c:pt idx="13">
                  <c:v>1617</c:v>
                </c:pt>
                <c:pt idx="14">
                  <c:v>1618</c:v>
                </c:pt>
                <c:pt idx="15">
                  <c:v>1626.5</c:v>
                </c:pt>
                <c:pt idx="16">
                  <c:v>1633.6</c:v>
                </c:pt>
                <c:pt idx="17">
                  <c:v>1638.5</c:v>
                </c:pt>
                <c:pt idx="18">
                  <c:v>1660</c:v>
                </c:pt>
                <c:pt idx="19">
                  <c:v>1689</c:v>
                </c:pt>
                <c:pt idx="20">
                  <c:v>1678</c:v>
                </c:pt>
                <c:pt idx="21">
                  <c:v>1669</c:v>
                </c:pt>
                <c:pt idx="22">
                  <c:v>1578</c:v>
                </c:pt>
                <c:pt idx="23">
                  <c:v>1586</c:v>
                </c:pt>
                <c:pt idx="24">
                  <c:v>1584</c:v>
                </c:pt>
                <c:pt idx="25" formatCode="General">
                  <c:v>1587.7</c:v>
                </c:pt>
                <c:pt idx="26">
                  <c:v>1587</c:v>
                </c:pt>
                <c:pt idx="27">
                  <c:v>1594</c:v>
                </c:pt>
                <c:pt idx="28">
                  <c:v>1597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51F-4B6D-B347-E8380AF42E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0399304"/>
        <c:axId val="180399696"/>
      </c:lineChart>
      <c:catAx>
        <c:axId val="18039734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開設年度</a:t>
                </a:r>
              </a:p>
            </c:rich>
          </c:tx>
          <c:layout>
            <c:manualLayout>
              <c:xMode val="edge"/>
              <c:yMode val="edge"/>
              <c:x val="0.47469932925051034"/>
              <c:y val="0.956864558596842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in"/>
        <c:tickLblPos val="low"/>
        <c:spPr>
          <a:ln w="6350">
            <a:solidFill>
              <a:srgbClr val="000000"/>
            </a:solidFill>
            <a:prstDash val="solid"/>
          </a:ln>
        </c:spPr>
        <c:txPr>
          <a:bodyPr rot="0" vert="horz" anchor="ctr" anchorCtr="1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80398912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180398912"/>
        <c:scaling>
          <c:orientation val="minMax"/>
          <c:max val="2500"/>
        </c:scaling>
        <c:delete val="0"/>
        <c:axPos val="l"/>
        <c:majorGridlines>
          <c:spPr>
            <a:ln w="3175">
              <a:solidFill>
                <a:schemeClr val="bg1">
                  <a:lumMod val="75000"/>
                </a:schemeClr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8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ｋｍ</a:t>
                </a:r>
              </a:p>
            </c:rich>
          </c:tx>
          <c:layout>
            <c:manualLayout>
              <c:xMode val="edge"/>
              <c:yMode val="edge"/>
              <c:x val="8.433738375295681E-2"/>
              <c:y val="3.3333333333333333E-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_ " sourceLinked="0"/>
        <c:majorTickMark val="in"/>
        <c:minorTickMark val="none"/>
        <c:tickLblPos val="nextTo"/>
        <c:spPr>
          <a:ln w="635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80397344"/>
        <c:crosses val="autoZero"/>
        <c:crossBetween val="midCat"/>
        <c:majorUnit val="250"/>
      </c:valAx>
      <c:catAx>
        <c:axId val="1803993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80399696"/>
        <c:crosses val="autoZero"/>
        <c:auto val="1"/>
        <c:lblAlgn val="ctr"/>
        <c:lblOffset val="100"/>
        <c:noMultiLvlLbl val="0"/>
      </c:catAx>
      <c:valAx>
        <c:axId val="180399696"/>
        <c:scaling>
          <c:orientation val="minMax"/>
          <c:max val="2500"/>
        </c:scaling>
        <c:delete val="1"/>
        <c:axPos val="r"/>
        <c:numFmt formatCode="#,##0_);[Red]\(#,##0\)" sourceLinked="1"/>
        <c:majorTickMark val="out"/>
        <c:minorTickMark val="none"/>
        <c:tickLblPos val="nextTo"/>
        <c:crossAx val="180399304"/>
        <c:crosses val="max"/>
        <c:crossBetween val="between"/>
        <c:majorUnit val="50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867554518648133"/>
          <c:y val="0.67255030621172351"/>
          <c:w val="0.3287572733102504"/>
          <c:h val="6.4706078406865819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5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自動車道年開設量の推移</a:t>
            </a:r>
          </a:p>
        </c:rich>
      </c:tx>
      <c:layout>
        <c:manualLayout>
          <c:xMode val="edge"/>
          <c:yMode val="edge"/>
          <c:x val="0.3008597654106796"/>
          <c:y val="1.174169070450352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5960005652318081E-2"/>
          <c:y val="7.9066950309484157E-2"/>
          <c:w val="0.87965739117538833"/>
          <c:h val="0.8275289687998727"/>
        </c:manualLayout>
      </c:layout>
      <c:lineChart>
        <c:grouping val="stacked"/>
        <c:varyColors val="0"/>
        <c:ser>
          <c:idx val="0"/>
          <c:order val="0"/>
          <c:spPr>
            <a:ln w="9525">
              <a:solidFill>
                <a:schemeClr val="tx1"/>
              </a:solidFill>
              <a:prstDash val="solid"/>
            </a:ln>
          </c:spPr>
          <c:marker>
            <c:symbol val="none"/>
          </c:marker>
          <c:cat>
            <c:strRef>
              <c:f>'【39P】4-1林道網整備計画'!$F$73:$F$101</c:f>
              <c:strCache>
                <c:ptCount val="29"/>
                <c:pt idx="0">
                  <c:v>6</c:v>
                </c:pt>
                <c:pt idx="1">
                  <c:v>7</c:v>
                </c:pt>
                <c:pt idx="2">
                  <c:v>8</c:v>
                </c:pt>
                <c:pt idx="3">
                  <c:v>9</c:v>
                </c:pt>
                <c:pt idx="4">
                  <c:v>10</c:v>
                </c:pt>
                <c:pt idx="5">
                  <c:v>11</c:v>
                </c:pt>
                <c:pt idx="6">
                  <c:v>12</c:v>
                </c:pt>
                <c:pt idx="7">
                  <c:v>13</c:v>
                </c:pt>
                <c:pt idx="8">
                  <c:v>14</c:v>
                </c:pt>
                <c:pt idx="9">
                  <c:v>15</c:v>
                </c:pt>
                <c:pt idx="10">
                  <c:v>16</c:v>
                </c:pt>
                <c:pt idx="11">
                  <c:v>17</c:v>
                </c:pt>
                <c:pt idx="12">
                  <c:v>18</c:v>
                </c:pt>
                <c:pt idx="13">
                  <c:v>19</c:v>
                </c:pt>
                <c:pt idx="14">
                  <c:v>20</c:v>
                </c:pt>
                <c:pt idx="15">
                  <c:v>21</c:v>
                </c:pt>
                <c:pt idx="16">
                  <c:v>22</c:v>
                </c:pt>
                <c:pt idx="17">
                  <c:v>23</c:v>
                </c:pt>
                <c:pt idx="18">
                  <c:v>24</c:v>
                </c:pt>
                <c:pt idx="19">
                  <c:v>25</c:v>
                </c:pt>
                <c:pt idx="20">
                  <c:v>26</c:v>
                </c:pt>
                <c:pt idx="21">
                  <c:v>27</c:v>
                </c:pt>
                <c:pt idx="22">
                  <c:v>28</c:v>
                </c:pt>
                <c:pt idx="23">
                  <c:v>29</c:v>
                </c:pt>
                <c:pt idx="24">
                  <c:v>30</c:v>
                </c:pt>
                <c:pt idx="25">
                  <c:v>R1</c:v>
                </c:pt>
                <c:pt idx="26">
                  <c:v>R2</c:v>
                </c:pt>
                <c:pt idx="27">
                  <c:v>R3</c:v>
                </c:pt>
                <c:pt idx="28">
                  <c:v>R4</c:v>
                </c:pt>
              </c:strCache>
            </c:strRef>
          </c:cat>
          <c:val>
            <c:numRef>
              <c:f>'【39P】4-1林道網整備計画'!$G$73:$G$101</c:f>
              <c:numCache>
                <c:formatCode>#,##0_);[Red]\(#,##0\)</c:formatCode>
                <c:ptCount val="29"/>
                <c:pt idx="0">
                  <c:v>32.799999999999997</c:v>
                </c:pt>
                <c:pt idx="1">
                  <c:v>31.7</c:v>
                </c:pt>
                <c:pt idx="2">
                  <c:v>23.3</c:v>
                </c:pt>
                <c:pt idx="3">
                  <c:v>22.4</c:v>
                </c:pt>
                <c:pt idx="4">
                  <c:v>17.8</c:v>
                </c:pt>
                <c:pt idx="5">
                  <c:v>23</c:v>
                </c:pt>
                <c:pt idx="6">
                  <c:v>22.7</c:v>
                </c:pt>
                <c:pt idx="7">
                  <c:v>16</c:v>
                </c:pt>
                <c:pt idx="8">
                  <c:v>12</c:v>
                </c:pt>
                <c:pt idx="9">
                  <c:v>11</c:v>
                </c:pt>
                <c:pt idx="10">
                  <c:v>10</c:v>
                </c:pt>
                <c:pt idx="11">
                  <c:v>12</c:v>
                </c:pt>
                <c:pt idx="12">
                  <c:v>13</c:v>
                </c:pt>
                <c:pt idx="13">
                  <c:v>7</c:v>
                </c:pt>
                <c:pt idx="14">
                  <c:v>8</c:v>
                </c:pt>
                <c:pt idx="15">
                  <c:v>8</c:v>
                </c:pt>
                <c:pt idx="16">
                  <c:v>8</c:v>
                </c:pt>
                <c:pt idx="17">
                  <c:v>6</c:v>
                </c:pt>
                <c:pt idx="18">
                  <c:v>9</c:v>
                </c:pt>
                <c:pt idx="19">
                  <c:v>7</c:v>
                </c:pt>
                <c:pt idx="20">
                  <c:v>9</c:v>
                </c:pt>
                <c:pt idx="21">
                  <c:v>8</c:v>
                </c:pt>
                <c:pt idx="22">
                  <c:v>4</c:v>
                </c:pt>
                <c:pt idx="23">
                  <c:v>8</c:v>
                </c:pt>
                <c:pt idx="24" formatCode="General">
                  <c:v>6</c:v>
                </c:pt>
                <c:pt idx="25" formatCode="0">
                  <c:v>2.6859999999999999</c:v>
                </c:pt>
                <c:pt idx="26" formatCode="General">
                  <c:v>4</c:v>
                </c:pt>
                <c:pt idx="27" formatCode="General">
                  <c:v>3</c:v>
                </c:pt>
                <c:pt idx="28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16D-4C03-9BA7-10136C131E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0881704"/>
        <c:axId val="180882096"/>
      </c:lineChart>
      <c:catAx>
        <c:axId val="18088170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開設年度</a:t>
                </a:r>
              </a:p>
            </c:rich>
          </c:tx>
          <c:layout>
            <c:manualLayout>
              <c:xMode val="edge"/>
              <c:yMode val="edge"/>
              <c:x val="0.47564528972967185"/>
              <c:y val="0.9547267357919840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in"/>
        <c:tickLblPos val="nextTo"/>
        <c:spPr>
          <a:ln w="635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80882096"/>
        <c:crosses val="autoZero"/>
        <c:auto val="0"/>
        <c:lblAlgn val="ctr"/>
        <c:lblOffset val="100"/>
        <c:tickMarkSkip val="2"/>
        <c:noMultiLvlLbl val="0"/>
      </c:catAx>
      <c:valAx>
        <c:axId val="18088209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75000"/>
                </a:schemeClr>
              </a:solidFill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8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ｋｍ</a:t>
                </a:r>
              </a:p>
            </c:rich>
          </c:tx>
          <c:layout>
            <c:manualLayout>
              <c:xMode val="edge"/>
              <c:yMode val="edge"/>
              <c:x val="4.5845159185610274E-2"/>
              <c:y val="2.9354122813856187E-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_);[Red]\(#,##0\)" sourceLinked="1"/>
        <c:majorTickMark val="in"/>
        <c:minorTickMark val="none"/>
        <c:tickLblPos val="nextTo"/>
        <c:spPr>
          <a:ln w="635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808817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16</xdr:row>
      <xdr:rowOff>50799</xdr:rowOff>
    </xdr:from>
    <xdr:to>
      <xdr:col>12</xdr:col>
      <xdr:colOff>530225</xdr:colOff>
      <xdr:row>53</xdr:row>
      <xdr:rowOff>95251</xdr:rowOff>
    </xdr:to>
    <xdr:grpSp>
      <xdr:nvGrpSpPr>
        <xdr:cNvPr id="612413" name="グループ化 1">
          <a:extLst>
            <a:ext uri="{FF2B5EF4-FFF2-40B4-BE49-F238E27FC236}">
              <a16:creationId xmlns:a16="http://schemas.microsoft.com/office/drawing/2014/main" id="{00000000-0008-0000-0000-00003D580900}"/>
            </a:ext>
          </a:extLst>
        </xdr:cNvPr>
        <xdr:cNvGrpSpPr>
          <a:grpSpLocks/>
        </xdr:cNvGrpSpPr>
      </xdr:nvGrpSpPr>
      <xdr:grpSpPr bwMode="auto">
        <a:xfrm>
          <a:off x="19050" y="3412743"/>
          <a:ext cx="6200267" cy="5229100"/>
          <a:chOff x="3872" y="4800600"/>
          <a:chExt cx="7406578" cy="4867275"/>
        </a:xfrm>
      </xdr:grpSpPr>
      <xdr:graphicFrame macro="">
        <xdr:nvGraphicFramePr>
          <xdr:cNvPr id="612414" name="Chart 1">
            <a:extLst>
              <a:ext uri="{FF2B5EF4-FFF2-40B4-BE49-F238E27FC236}">
                <a16:creationId xmlns:a16="http://schemas.microsoft.com/office/drawing/2014/main" id="{00000000-0008-0000-0000-00003E580900}"/>
              </a:ext>
            </a:extLst>
          </xdr:cNvPr>
          <xdr:cNvGraphicFramePr>
            <a:graphicFrameLocks/>
          </xdr:cNvGraphicFramePr>
        </xdr:nvGraphicFramePr>
        <xdr:xfrm>
          <a:off x="3872" y="4800602"/>
          <a:ext cx="3950809" cy="4857749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graphicFrame macro="">
        <xdr:nvGraphicFramePr>
          <xdr:cNvPr id="612415" name="Chart 2">
            <a:extLst>
              <a:ext uri="{FF2B5EF4-FFF2-40B4-BE49-F238E27FC236}">
                <a16:creationId xmlns:a16="http://schemas.microsoft.com/office/drawing/2014/main" id="{00000000-0008-0000-0000-00003F580900}"/>
              </a:ext>
            </a:extLst>
          </xdr:cNvPr>
          <xdr:cNvGraphicFramePr>
            <a:graphicFrameLocks/>
          </xdr:cNvGraphicFramePr>
        </xdr:nvGraphicFramePr>
        <xdr:xfrm>
          <a:off x="3971925" y="4800600"/>
          <a:ext cx="3438525" cy="4867275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2"/>
          </a:graphicData>
        </a:graphic>
      </xdr:graphicFrame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817099</xdr:colOff>
      <xdr:row>55</xdr:row>
      <xdr:rowOff>190498</xdr:rowOff>
    </xdr:from>
    <xdr:to>
      <xdr:col>3</xdr:col>
      <xdr:colOff>432955</xdr:colOff>
      <xdr:row>59</xdr:row>
      <xdr:rowOff>199731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 txBox="1"/>
      </xdr:nvSpPr>
      <xdr:spPr>
        <a:xfrm>
          <a:off x="1206758" y="10667998"/>
          <a:ext cx="1322934" cy="850402"/>
        </a:xfrm>
        <a:prstGeom prst="upArrowCallout">
          <a:avLst/>
        </a:prstGeom>
        <a:solidFill>
          <a:srgbClr val="FFFF00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100"/>
            <a:t>この列修正済み</a:t>
          </a:r>
          <a:endParaRPr kumimoji="1" lang="en-US" altLang="ja-JP" sz="1100"/>
        </a:p>
        <a:p>
          <a:pPr algn="ctr"/>
          <a:r>
            <a:rPr kumimoji="1" lang="ja-JP" altLang="en-US" sz="1100"/>
            <a:t>（武藤）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P101"/>
  <sheetViews>
    <sheetView showGridLines="0" view="pageBreakPreview" topLeftCell="A4" zoomScaleNormal="100" zoomScaleSheetLayoutView="100" workbookViewId="0">
      <selection activeCell="A4" sqref="A1:XFD1048576"/>
    </sheetView>
  </sheetViews>
  <sheetFormatPr defaultColWidth="9" defaultRowHeight="12"/>
  <cols>
    <col min="1" max="1" width="5.6640625" style="20" customWidth="1"/>
    <col min="2" max="2" width="10.6640625" style="20" customWidth="1"/>
    <col min="3" max="3" width="5.6640625" style="20" customWidth="1"/>
    <col min="4" max="4" width="7.6640625" style="20" customWidth="1"/>
    <col min="5" max="6" width="5.6640625" style="20" customWidth="1"/>
    <col min="7" max="7" width="7.6640625" style="20" customWidth="1"/>
    <col min="8" max="8" width="5.6640625" style="20" customWidth="1"/>
    <col min="9" max="9" width="7.6640625" style="20" customWidth="1"/>
    <col min="10" max="10" width="5.6640625" style="20" customWidth="1"/>
    <col min="11" max="11" width="7.6640625" style="20" customWidth="1"/>
    <col min="12" max="12" width="5.6640625" style="20" customWidth="1"/>
    <col min="13" max="13" width="7.6640625" style="20" customWidth="1"/>
    <col min="14" max="14" width="2.109375" style="20" customWidth="1"/>
    <col min="15" max="16384" width="9" style="20"/>
  </cols>
  <sheetData>
    <row r="1" spans="1:16" s="18" customFormat="1" ht="24" customHeight="1">
      <c r="A1" s="17" t="s">
        <v>0</v>
      </c>
    </row>
    <row r="2" spans="1:16" s="18" customFormat="1" ht="15.9" customHeight="1">
      <c r="A2" s="19"/>
    </row>
    <row r="3" spans="1:16" ht="12" customHeight="1" thickBot="1">
      <c r="M3" s="21" t="s">
        <v>1</v>
      </c>
    </row>
    <row r="4" spans="1:16" ht="20.100000000000001" customHeight="1">
      <c r="A4" s="22" t="s">
        <v>2</v>
      </c>
      <c r="B4" s="23"/>
      <c r="C4" s="24" t="s">
        <v>3</v>
      </c>
      <c r="D4" s="23"/>
      <c r="E4" s="25" t="s">
        <v>4</v>
      </c>
      <c r="F4" s="26"/>
      <c r="G4" s="26"/>
      <c r="H4" s="26"/>
      <c r="I4" s="27"/>
      <c r="J4" s="28" t="s">
        <v>5</v>
      </c>
      <c r="K4" s="29"/>
      <c r="L4" s="29"/>
      <c r="M4" s="30"/>
    </row>
    <row r="5" spans="1:16" ht="20.100000000000001" customHeight="1">
      <c r="A5" s="31"/>
      <c r="B5" s="32"/>
      <c r="C5" s="33"/>
      <c r="D5" s="32"/>
      <c r="E5" s="34"/>
      <c r="F5" s="35"/>
      <c r="G5" s="35"/>
      <c r="H5" s="35"/>
      <c r="I5" s="36"/>
      <c r="J5" s="37" t="s">
        <v>6</v>
      </c>
      <c r="K5" s="38"/>
      <c r="L5" s="39" t="s">
        <v>7</v>
      </c>
      <c r="M5" s="40"/>
      <c r="P5" s="17"/>
    </row>
    <row r="6" spans="1:16" ht="20.100000000000001" customHeight="1">
      <c r="A6" s="41" t="s">
        <v>8</v>
      </c>
      <c r="B6" s="42"/>
      <c r="C6" s="43" t="s">
        <v>9</v>
      </c>
      <c r="D6" s="44"/>
      <c r="E6" s="45" t="s">
        <v>10</v>
      </c>
      <c r="F6" s="46"/>
      <c r="G6" s="46"/>
      <c r="H6" s="46"/>
      <c r="I6" s="47"/>
      <c r="J6" s="48">
        <v>6.6</v>
      </c>
      <c r="K6" s="49"/>
      <c r="L6" s="50">
        <v>120.7</v>
      </c>
      <c r="M6" s="51"/>
    </row>
    <row r="7" spans="1:16" ht="20.100000000000001" customHeight="1">
      <c r="A7" s="52" t="s">
        <v>11</v>
      </c>
      <c r="B7" s="53"/>
      <c r="C7" s="54" t="s">
        <v>12</v>
      </c>
      <c r="D7" s="55"/>
      <c r="E7" s="56" t="s">
        <v>13</v>
      </c>
      <c r="F7" s="57"/>
      <c r="G7" s="57"/>
      <c r="H7" s="57"/>
      <c r="I7" s="58"/>
      <c r="J7" s="59">
        <v>5</v>
      </c>
      <c r="K7" s="60"/>
      <c r="L7" s="61">
        <v>18.2</v>
      </c>
      <c r="M7" s="62"/>
    </row>
    <row r="8" spans="1:16" s="63" customFormat="1" ht="20.100000000000001" customHeight="1">
      <c r="A8" s="52"/>
      <c r="B8" s="53"/>
      <c r="C8" s="54" t="s">
        <v>14</v>
      </c>
      <c r="D8" s="55"/>
      <c r="E8" s="56" t="s">
        <v>15</v>
      </c>
      <c r="F8" s="57"/>
      <c r="G8" s="57"/>
      <c r="H8" s="57"/>
      <c r="I8" s="58"/>
      <c r="J8" s="59">
        <v>8</v>
      </c>
      <c r="K8" s="60"/>
      <c r="L8" s="61">
        <v>59.7</v>
      </c>
      <c r="M8" s="62"/>
    </row>
    <row r="9" spans="1:16" ht="20.100000000000001" customHeight="1">
      <c r="A9" s="64" t="s">
        <v>16</v>
      </c>
      <c r="B9" s="65"/>
      <c r="C9" s="54" t="s">
        <v>16</v>
      </c>
      <c r="D9" s="55"/>
      <c r="E9" s="56" t="s">
        <v>249</v>
      </c>
      <c r="F9" s="57"/>
      <c r="G9" s="57"/>
      <c r="H9" s="57"/>
      <c r="I9" s="58"/>
      <c r="J9" s="59">
        <v>15.6</v>
      </c>
      <c r="K9" s="60"/>
      <c r="L9" s="61">
        <v>109</v>
      </c>
      <c r="M9" s="62"/>
    </row>
    <row r="10" spans="1:16" ht="20.100000000000001" customHeight="1">
      <c r="A10" s="64" t="s">
        <v>17</v>
      </c>
      <c r="B10" s="65"/>
      <c r="C10" s="54" t="s">
        <v>18</v>
      </c>
      <c r="D10" s="55"/>
      <c r="E10" s="56" t="s">
        <v>19</v>
      </c>
      <c r="F10" s="57"/>
      <c r="G10" s="57"/>
      <c r="H10" s="57"/>
      <c r="I10" s="58"/>
      <c r="J10" s="59">
        <v>7.7</v>
      </c>
      <c r="K10" s="60"/>
      <c r="L10" s="61">
        <v>118.5</v>
      </c>
      <c r="M10" s="62"/>
    </row>
    <row r="11" spans="1:16" ht="20.100000000000001" customHeight="1">
      <c r="A11" s="64"/>
      <c r="B11" s="65"/>
      <c r="C11" s="54" t="s">
        <v>20</v>
      </c>
      <c r="D11" s="55"/>
      <c r="E11" s="56" t="s">
        <v>19</v>
      </c>
      <c r="F11" s="57"/>
      <c r="G11" s="57"/>
      <c r="H11" s="57"/>
      <c r="I11" s="58"/>
      <c r="J11" s="59">
        <v>9</v>
      </c>
      <c r="K11" s="60"/>
      <c r="L11" s="61">
        <v>140.69999999999999</v>
      </c>
      <c r="M11" s="62"/>
    </row>
    <row r="12" spans="1:16" ht="20.100000000000001" customHeight="1" thickBot="1">
      <c r="A12" s="66"/>
      <c r="B12" s="67"/>
      <c r="C12" s="68" t="s">
        <v>21</v>
      </c>
      <c r="D12" s="69"/>
      <c r="E12" s="70" t="s">
        <v>19</v>
      </c>
      <c r="F12" s="71"/>
      <c r="G12" s="71"/>
      <c r="H12" s="71"/>
      <c r="I12" s="72"/>
      <c r="J12" s="73">
        <v>8.3000000000000007</v>
      </c>
      <c r="K12" s="74"/>
      <c r="L12" s="75">
        <v>86.8</v>
      </c>
      <c r="M12" s="76"/>
    </row>
    <row r="13" spans="1:16" ht="18" customHeight="1">
      <c r="A13" s="77"/>
      <c r="B13" s="78"/>
      <c r="C13" s="79"/>
      <c r="D13" s="79"/>
      <c r="E13" s="80"/>
      <c r="F13" s="79"/>
      <c r="G13" s="79"/>
      <c r="H13" s="81"/>
      <c r="I13" s="81"/>
      <c r="J13" s="79"/>
      <c r="K13" s="82"/>
      <c r="L13" s="83" t="s">
        <v>22</v>
      </c>
      <c r="M13" s="84"/>
    </row>
    <row r="58" spans="3:7" ht="14.4">
      <c r="C58" s="85" t="s">
        <v>23</v>
      </c>
      <c r="D58" s="86"/>
      <c r="E58" s="86"/>
      <c r="F58" s="85" t="s">
        <v>23</v>
      </c>
      <c r="G58" s="87"/>
    </row>
    <row r="59" spans="3:7">
      <c r="C59" s="86"/>
      <c r="D59" s="86"/>
      <c r="E59" s="88" t="s">
        <v>24</v>
      </c>
      <c r="F59" s="86"/>
      <c r="G59" s="89" t="s">
        <v>24</v>
      </c>
    </row>
    <row r="60" spans="3:7">
      <c r="C60" s="90" t="s">
        <v>25</v>
      </c>
      <c r="D60" s="90" t="s">
        <v>26</v>
      </c>
      <c r="E60" s="91" t="s">
        <v>27</v>
      </c>
      <c r="F60" s="90" t="s">
        <v>25</v>
      </c>
      <c r="G60" s="92" t="s">
        <v>28</v>
      </c>
    </row>
    <row r="61" spans="3:7">
      <c r="C61" s="93">
        <v>57</v>
      </c>
      <c r="D61" s="94">
        <v>1671</v>
      </c>
      <c r="E61" s="94">
        <v>1191</v>
      </c>
      <c r="F61" s="93">
        <v>57</v>
      </c>
      <c r="G61" s="95">
        <v>52.8</v>
      </c>
    </row>
    <row r="62" spans="3:7">
      <c r="C62" s="93">
        <v>58</v>
      </c>
      <c r="D62" s="94">
        <v>1722</v>
      </c>
      <c r="E62" s="94">
        <v>1242</v>
      </c>
      <c r="F62" s="93">
        <v>58</v>
      </c>
      <c r="G62" s="95">
        <v>51.2</v>
      </c>
    </row>
    <row r="63" spans="3:7">
      <c r="C63" s="93">
        <v>59</v>
      </c>
      <c r="D63" s="94">
        <v>1776</v>
      </c>
      <c r="E63" s="94">
        <v>1291</v>
      </c>
      <c r="F63" s="93">
        <v>59</v>
      </c>
      <c r="G63" s="95">
        <v>53.9</v>
      </c>
    </row>
    <row r="64" spans="3:7">
      <c r="C64" s="93">
        <v>60</v>
      </c>
      <c r="D64" s="94">
        <v>1831</v>
      </c>
      <c r="E64" s="94">
        <v>1340</v>
      </c>
      <c r="F64" s="93">
        <v>60</v>
      </c>
      <c r="G64" s="95">
        <v>55.4</v>
      </c>
    </row>
    <row r="65" spans="3:7">
      <c r="C65" s="93">
        <v>61</v>
      </c>
      <c r="D65" s="94">
        <v>1881</v>
      </c>
      <c r="E65" s="94">
        <v>1382</v>
      </c>
      <c r="F65" s="93">
        <v>61</v>
      </c>
      <c r="G65" s="95">
        <v>50</v>
      </c>
    </row>
    <row r="66" spans="3:7">
      <c r="C66" s="93">
        <v>62</v>
      </c>
      <c r="D66" s="94">
        <v>1934</v>
      </c>
      <c r="E66" s="94">
        <v>1427</v>
      </c>
      <c r="F66" s="93">
        <v>62</v>
      </c>
      <c r="G66" s="95">
        <v>52.6</v>
      </c>
    </row>
    <row r="67" spans="3:7">
      <c r="C67" s="93">
        <v>63</v>
      </c>
      <c r="D67" s="94">
        <v>1972</v>
      </c>
      <c r="E67" s="94">
        <v>1452</v>
      </c>
      <c r="F67" s="93">
        <v>63</v>
      </c>
      <c r="G67" s="95">
        <v>38.700000000000003</v>
      </c>
    </row>
    <row r="68" spans="3:7">
      <c r="C68" s="96" t="s">
        <v>29</v>
      </c>
      <c r="D68" s="94">
        <v>2015</v>
      </c>
      <c r="E68" s="94">
        <v>1484</v>
      </c>
      <c r="F68" s="96" t="s">
        <v>29</v>
      </c>
      <c r="G68" s="95">
        <v>42.3</v>
      </c>
    </row>
    <row r="69" spans="3:7">
      <c r="C69" s="93">
        <v>2</v>
      </c>
      <c r="D69" s="94">
        <v>2052</v>
      </c>
      <c r="E69" s="94">
        <v>1514</v>
      </c>
      <c r="F69" s="93">
        <v>2</v>
      </c>
      <c r="G69" s="95">
        <v>36.799999999999997</v>
      </c>
    </row>
    <row r="70" spans="3:7">
      <c r="C70" s="93">
        <v>3</v>
      </c>
      <c r="D70" s="94">
        <v>2077</v>
      </c>
      <c r="E70" s="94">
        <v>1526</v>
      </c>
      <c r="F70" s="93">
        <v>3</v>
      </c>
      <c r="G70" s="95">
        <v>25</v>
      </c>
    </row>
    <row r="71" spans="3:7">
      <c r="C71" s="93">
        <v>4</v>
      </c>
      <c r="D71" s="94">
        <v>2102</v>
      </c>
      <c r="E71" s="94">
        <v>1557</v>
      </c>
      <c r="F71" s="93">
        <v>4</v>
      </c>
      <c r="G71" s="95">
        <v>25.3</v>
      </c>
    </row>
    <row r="72" spans="3:7">
      <c r="C72" s="93">
        <v>5</v>
      </c>
      <c r="D72" s="94">
        <v>2127</v>
      </c>
      <c r="E72" s="94">
        <v>1579</v>
      </c>
      <c r="F72" s="93">
        <v>5</v>
      </c>
      <c r="G72" s="95">
        <v>25.1</v>
      </c>
    </row>
    <row r="73" spans="3:7">
      <c r="C73" s="93">
        <v>6</v>
      </c>
      <c r="D73" s="94">
        <v>2160</v>
      </c>
      <c r="E73" s="94">
        <v>1610</v>
      </c>
      <c r="F73" s="93">
        <v>6</v>
      </c>
      <c r="G73" s="95">
        <v>32.799999999999997</v>
      </c>
    </row>
    <row r="74" spans="3:7">
      <c r="C74" s="93">
        <v>7</v>
      </c>
      <c r="D74" s="94">
        <v>2192</v>
      </c>
      <c r="E74" s="94">
        <v>1562</v>
      </c>
      <c r="F74" s="93">
        <v>7</v>
      </c>
      <c r="G74" s="95">
        <v>31.7</v>
      </c>
    </row>
    <row r="75" spans="3:7">
      <c r="C75" s="93">
        <v>8</v>
      </c>
      <c r="D75" s="94">
        <v>2215</v>
      </c>
      <c r="E75" s="94">
        <v>1478</v>
      </c>
      <c r="F75" s="93">
        <v>8</v>
      </c>
      <c r="G75" s="95">
        <v>23.3</v>
      </c>
    </row>
    <row r="76" spans="3:7">
      <c r="C76" s="93">
        <v>9</v>
      </c>
      <c r="D76" s="94">
        <v>2237</v>
      </c>
      <c r="E76" s="94">
        <v>1501</v>
      </c>
      <c r="F76" s="93">
        <v>9</v>
      </c>
      <c r="G76" s="95">
        <v>22.4</v>
      </c>
    </row>
    <row r="77" spans="3:7">
      <c r="C77" s="93">
        <v>10</v>
      </c>
      <c r="D77" s="94">
        <v>2255</v>
      </c>
      <c r="E77" s="94">
        <v>1522</v>
      </c>
      <c r="F77" s="93">
        <v>10</v>
      </c>
      <c r="G77" s="95">
        <v>17.8</v>
      </c>
    </row>
    <row r="78" spans="3:7">
      <c r="C78" s="93">
        <v>11</v>
      </c>
      <c r="D78" s="94">
        <v>2278</v>
      </c>
      <c r="E78" s="94">
        <v>1539</v>
      </c>
      <c r="F78" s="93">
        <v>11</v>
      </c>
      <c r="G78" s="95">
        <v>23</v>
      </c>
    </row>
    <row r="79" spans="3:7">
      <c r="C79" s="93">
        <v>12</v>
      </c>
      <c r="D79" s="94">
        <v>2301</v>
      </c>
      <c r="E79" s="94">
        <v>1554</v>
      </c>
      <c r="F79" s="93">
        <v>12</v>
      </c>
      <c r="G79" s="95">
        <v>22.7</v>
      </c>
    </row>
    <row r="80" spans="3:7">
      <c r="C80" s="93">
        <v>13</v>
      </c>
      <c r="D80" s="94">
        <v>2317</v>
      </c>
      <c r="E80" s="94">
        <v>1558</v>
      </c>
      <c r="F80" s="93">
        <v>13</v>
      </c>
      <c r="G80" s="95">
        <v>16</v>
      </c>
    </row>
    <row r="81" spans="3:7">
      <c r="C81" s="93">
        <v>14</v>
      </c>
      <c r="D81" s="94">
        <v>2328</v>
      </c>
      <c r="E81" s="94">
        <v>1564</v>
      </c>
      <c r="F81" s="93">
        <v>14</v>
      </c>
      <c r="G81" s="95">
        <v>12</v>
      </c>
    </row>
    <row r="82" spans="3:7">
      <c r="C82" s="93">
        <v>15</v>
      </c>
      <c r="D82" s="94">
        <v>2340</v>
      </c>
      <c r="E82" s="94">
        <v>1575</v>
      </c>
      <c r="F82" s="93">
        <v>15</v>
      </c>
      <c r="G82" s="95">
        <v>11</v>
      </c>
    </row>
    <row r="83" spans="3:7">
      <c r="C83" s="93">
        <v>16</v>
      </c>
      <c r="D83" s="94">
        <v>2349</v>
      </c>
      <c r="E83" s="94">
        <v>1585</v>
      </c>
      <c r="F83" s="93">
        <v>16</v>
      </c>
      <c r="G83" s="95">
        <v>10</v>
      </c>
    </row>
    <row r="84" spans="3:7">
      <c r="C84" s="93">
        <v>17</v>
      </c>
      <c r="D84" s="94">
        <v>2362</v>
      </c>
      <c r="E84" s="94">
        <v>1596</v>
      </c>
      <c r="F84" s="93">
        <v>17</v>
      </c>
      <c r="G84" s="95">
        <v>12</v>
      </c>
    </row>
    <row r="85" spans="3:7">
      <c r="C85" s="93">
        <v>18</v>
      </c>
      <c r="D85" s="94">
        <v>2375</v>
      </c>
      <c r="E85" s="94">
        <v>1610</v>
      </c>
      <c r="F85" s="93">
        <v>18</v>
      </c>
      <c r="G85" s="95">
        <v>13</v>
      </c>
    </row>
    <row r="86" spans="3:7">
      <c r="C86" s="93">
        <v>19</v>
      </c>
      <c r="D86" s="94">
        <v>2382</v>
      </c>
      <c r="E86" s="94">
        <v>1617</v>
      </c>
      <c r="F86" s="93">
        <v>19</v>
      </c>
      <c r="G86" s="95">
        <v>7</v>
      </c>
    </row>
    <row r="87" spans="3:7">
      <c r="C87" s="93">
        <v>20</v>
      </c>
      <c r="D87" s="94">
        <v>2390</v>
      </c>
      <c r="E87" s="94">
        <v>1618</v>
      </c>
      <c r="F87" s="93">
        <v>20</v>
      </c>
      <c r="G87" s="95">
        <v>8</v>
      </c>
    </row>
    <row r="88" spans="3:7">
      <c r="C88" s="93">
        <v>21</v>
      </c>
      <c r="D88" s="94">
        <v>2408</v>
      </c>
      <c r="E88" s="94">
        <v>1626.5</v>
      </c>
      <c r="F88" s="93">
        <v>21</v>
      </c>
      <c r="G88" s="95">
        <v>8</v>
      </c>
    </row>
    <row r="89" spans="3:7">
      <c r="C89" s="93">
        <v>22</v>
      </c>
      <c r="D89" s="94">
        <f>D88+G89+1</f>
        <v>2417</v>
      </c>
      <c r="E89" s="94">
        <v>1633.6</v>
      </c>
      <c r="F89" s="93">
        <v>22</v>
      </c>
      <c r="G89" s="95">
        <v>8</v>
      </c>
    </row>
    <row r="90" spans="3:7">
      <c r="C90" s="93">
        <v>23</v>
      </c>
      <c r="D90" s="94">
        <f>D89+G90</f>
        <v>2423</v>
      </c>
      <c r="E90" s="94">
        <v>1638.5</v>
      </c>
      <c r="F90" s="93">
        <v>23</v>
      </c>
      <c r="G90" s="95">
        <v>6</v>
      </c>
    </row>
    <row r="91" spans="3:7">
      <c r="C91" s="93">
        <v>24</v>
      </c>
      <c r="D91" s="94">
        <f>D90+G91</f>
        <v>2432</v>
      </c>
      <c r="E91" s="94">
        <v>1660</v>
      </c>
      <c r="F91" s="93">
        <v>24</v>
      </c>
      <c r="G91" s="95">
        <v>9</v>
      </c>
    </row>
    <row r="92" spans="3:7">
      <c r="C92" s="93">
        <v>25</v>
      </c>
      <c r="D92" s="94">
        <f>D91+G92</f>
        <v>2439</v>
      </c>
      <c r="E92" s="94">
        <v>1689</v>
      </c>
      <c r="F92" s="93">
        <v>25</v>
      </c>
      <c r="G92" s="95">
        <v>7</v>
      </c>
    </row>
    <row r="93" spans="3:7">
      <c r="C93" s="97">
        <v>26</v>
      </c>
      <c r="D93" s="94">
        <f>D92+G93</f>
        <v>2448</v>
      </c>
      <c r="E93" s="98">
        <v>1678</v>
      </c>
      <c r="F93" s="97">
        <v>26</v>
      </c>
      <c r="G93" s="99">
        <v>9</v>
      </c>
    </row>
    <row r="94" spans="3:7">
      <c r="C94" s="97">
        <v>27</v>
      </c>
      <c r="D94" s="94">
        <v>2454</v>
      </c>
      <c r="E94" s="98">
        <v>1669</v>
      </c>
      <c r="F94" s="97">
        <v>27</v>
      </c>
      <c r="G94" s="99">
        <v>8</v>
      </c>
    </row>
    <row r="95" spans="3:7">
      <c r="C95" s="97">
        <v>28</v>
      </c>
      <c r="D95" s="94">
        <f>D94+G95</f>
        <v>2458</v>
      </c>
      <c r="E95" s="98">
        <v>1578</v>
      </c>
      <c r="F95" s="97">
        <v>28</v>
      </c>
      <c r="G95" s="99">
        <v>4</v>
      </c>
    </row>
    <row r="96" spans="3:7">
      <c r="C96" s="97">
        <v>29</v>
      </c>
      <c r="D96" s="94">
        <f>D95+G96</f>
        <v>2466</v>
      </c>
      <c r="E96" s="98">
        <v>1586</v>
      </c>
      <c r="F96" s="97">
        <v>29</v>
      </c>
      <c r="G96" s="99">
        <v>8</v>
      </c>
    </row>
    <row r="97" spans="3:7">
      <c r="C97" s="97">
        <v>30</v>
      </c>
      <c r="D97" s="100">
        <v>2476</v>
      </c>
      <c r="E97" s="100">
        <v>1584</v>
      </c>
      <c r="F97" s="97">
        <v>30</v>
      </c>
      <c r="G97" s="97">
        <v>6</v>
      </c>
    </row>
    <row r="98" spans="3:7">
      <c r="C98" s="101" t="s">
        <v>30</v>
      </c>
      <c r="D98" s="100">
        <v>2480</v>
      </c>
      <c r="E98" s="97">
        <v>1587.7</v>
      </c>
      <c r="F98" s="101" t="s">
        <v>30</v>
      </c>
      <c r="G98" s="102">
        <v>2.6859999999999999</v>
      </c>
    </row>
    <row r="99" spans="3:7">
      <c r="C99" s="101" t="s">
        <v>31</v>
      </c>
      <c r="D99" s="100">
        <v>2484</v>
      </c>
      <c r="E99" s="100">
        <v>1587</v>
      </c>
      <c r="F99" s="101" t="s">
        <v>31</v>
      </c>
      <c r="G99" s="97">
        <v>4</v>
      </c>
    </row>
    <row r="100" spans="3:7">
      <c r="C100" s="101" t="s">
        <v>32</v>
      </c>
      <c r="D100" s="100">
        <v>2487</v>
      </c>
      <c r="E100" s="100">
        <v>1594</v>
      </c>
      <c r="F100" s="101" t="s">
        <v>32</v>
      </c>
      <c r="G100" s="97">
        <v>3</v>
      </c>
    </row>
    <row r="101" spans="3:7">
      <c r="C101" s="101" t="s">
        <v>250</v>
      </c>
      <c r="D101" s="100">
        <v>2490</v>
      </c>
      <c r="E101" s="100">
        <v>1597</v>
      </c>
      <c r="F101" s="101" t="s">
        <v>250</v>
      </c>
      <c r="G101" s="97">
        <v>5</v>
      </c>
    </row>
  </sheetData>
  <mergeCells count="43">
    <mergeCell ref="A4:B5"/>
    <mergeCell ref="C4:D5"/>
    <mergeCell ref="E4:I5"/>
    <mergeCell ref="J4:M4"/>
    <mergeCell ref="J5:K5"/>
    <mergeCell ref="L5:M5"/>
    <mergeCell ref="A6:B6"/>
    <mergeCell ref="C6:D6"/>
    <mergeCell ref="E6:I6"/>
    <mergeCell ref="J6:K6"/>
    <mergeCell ref="L6:M6"/>
    <mergeCell ref="C8:D8"/>
    <mergeCell ref="E8:I8"/>
    <mergeCell ref="J8:K8"/>
    <mergeCell ref="L8:M8"/>
    <mergeCell ref="A9:B9"/>
    <mergeCell ref="C9:D9"/>
    <mergeCell ref="E9:I9"/>
    <mergeCell ref="J9:K9"/>
    <mergeCell ref="L9:M9"/>
    <mergeCell ref="A7:B8"/>
    <mergeCell ref="C7:D7"/>
    <mergeCell ref="E7:I7"/>
    <mergeCell ref="J7:K7"/>
    <mergeCell ref="L7:M7"/>
    <mergeCell ref="A10:B12"/>
    <mergeCell ref="C10:D10"/>
    <mergeCell ref="E10:I10"/>
    <mergeCell ref="J10:K10"/>
    <mergeCell ref="L10:M10"/>
    <mergeCell ref="C11:D11"/>
    <mergeCell ref="E11:I11"/>
    <mergeCell ref="J11:K11"/>
    <mergeCell ref="L11:M11"/>
    <mergeCell ref="C12:D12"/>
    <mergeCell ref="E12:I12"/>
    <mergeCell ref="J12:K12"/>
    <mergeCell ref="L12:M12"/>
    <mergeCell ref="L13:M13"/>
    <mergeCell ref="C13:D13"/>
    <mergeCell ref="F13:G13"/>
    <mergeCell ref="H13:I13"/>
    <mergeCell ref="J13:K13"/>
  </mergeCells>
  <phoneticPr fontId="1"/>
  <pageMargins left="0.70866141732283472" right="0.70866141732283472" top="0.78740157480314965" bottom="0.19685039370078741" header="0.35433070866141736" footer="0"/>
  <pageSetup paperSize="9" firstPageNumber="39" orientation="portrait" cellComments="asDisplayed" useFirstPageNumber="1" r:id="rId1"/>
  <headerFooter differentOddEven="1" scaleWithDoc="0" alignWithMargins="0">
    <oddHeader>&amp;R&amp;"ＭＳ Ｐ明朝,標準"Ⅳ林　　道　　　　　- &amp;P -</oddHeader>
    <evenHeader>&amp;L&amp;"ＭＳ Ｐ明朝,標準"- &amp;P -</evenHeader>
  </headerFooter>
  <rowBreaks count="1" manualBreakCount="1">
    <brk id="54" max="12" man="1"/>
  </rowBreaks>
  <colBreaks count="1" manualBreakCount="1">
    <brk id="13" max="5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F0"/>
  </sheetPr>
  <dimension ref="A1:P48"/>
  <sheetViews>
    <sheetView showGridLines="0" view="pageBreakPreview" zoomScaleNormal="100" zoomScaleSheetLayoutView="100" workbookViewId="0">
      <selection sqref="A1:XFD1048576"/>
    </sheetView>
  </sheetViews>
  <sheetFormatPr defaultColWidth="9" defaultRowHeight="12"/>
  <cols>
    <col min="1" max="1" width="4.33203125" style="20" customWidth="1"/>
    <col min="2" max="2" width="9.6640625" style="20" customWidth="1"/>
    <col min="3" max="3" width="11.6640625" style="20" customWidth="1"/>
    <col min="4" max="4" width="10.6640625" style="20" customWidth="1"/>
    <col min="5" max="5" width="11.6640625" style="20" customWidth="1"/>
    <col min="6" max="6" width="10.6640625" style="20" customWidth="1"/>
    <col min="7" max="7" width="11.6640625" style="20" customWidth="1"/>
    <col min="8" max="8" width="10.6640625" style="20" customWidth="1"/>
    <col min="9" max="9" width="11.6640625" style="20" customWidth="1"/>
    <col min="10" max="10" width="10.109375" style="20" customWidth="1"/>
    <col min="11" max="11" width="11.6640625" style="20" customWidth="1"/>
    <col min="12" max="12" width="10.109375" style="20" customWidth="1"/>
    <col min="13" max="13" width="11.6640625" style="20" customWidth="1"/>
    <col min="14" max="14" width="10.109375" style="20" customWidth="1"/>
    <col min="15" max="15" width="11.6640625" style="20" customWidth="1"/>
    <col min="16" max="16" width="10.109375" style="20" customWidth="1"/>
    <col min="17" max="16384" width="9" style="20"/>
  </cols>
  <sheetData>
    <row r="1" spans="1:16" ht="24" customHeight="1">
      <c r="A1" s="103" t="s">
        <v>33</v>
      </c>
      <c r="C1" s="104"/>
      <c r="D1" s="105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5"/>
    </row>
    <row r="2" spans="1:16" ht="15.9" customHeight="1">
      <c r="A2" s="106" t="s">
        <v>34</v>
      </c>
      <c r="C2" s="104"/>
      <c r="D2" s="105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</row>
    <row r="3" spans="1:16" ht="12" customHeight="1" thickBot="1">
      <c r="B3" s="105"/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21" t="s">
        <v>35</v>
      </c>
    </row>
    <row r="4" spans="1:16" ht="18" customHeight="1">
      <c r="A4" s="107" t="s">
        <v>3</v>
      </c>
      <c r="B4" s="108"/>
      <c r="C4" s="109" t="s">
        <v>36</v>
      </c>
      <c r="D4" s="109"/>
      <c r="E4" s="110" t="s">
        <v>37</v>
      </c>
      <c r="F4" s="110"/>
      <c r="G4" s="110" t="s">
        <v>38</v>
      </c>
      <c r="H4" s="110"/>
      <c r="I4" s="110" t="s">
        <v>39</v>
      </c>
      <c r="J4" s="110"/>
      <c r="K4" s="110" t="s">
        <v>40</v>
      </c>
      <c r="L4" s="110"/>
      <c r="M4" s="110" t="s">
        <v>41</v>
      </c>
      <c r="N4" s="110"/>
      <c r="O4" s="110" t="s">
        <v>42</v>
      </c>
      <c r="P4" s="111"/>
    </row>
    <row r="5" spans="1:16" ht="18" customHeight="1">
      <c r="A5" s="112"/>
      <c r="B5" s="113"/>
      <c r="C5" s="114" t="s">
        <v>43</v>
      </c>
      <c r="D5" s="115" t="s">
        <v>44</v>
      </c>
      <c r="E5" s="116" t="s">
        <v>43</v>
      </c>
      <c r="F5" s="116" t="s">
        <v>44</v>
      </c>
      <c r="G5" s="116" t="s">
        <v>43</v>
      </c>
      <c r="H5" s="116" t="s">
        <v>44</v>
      </c>
      <c r="I5" s="116" t="s">
        <v>43</v>
      </c>
      <c r="J5" s="116" t="s">
        <v>45</v>
      </c>
      <c r="K5" s="116" t="s">
        <v>43</v>
      </c>
      <c r="L5" s="116" t="s">
        <v>45</v>
      </c>
      <c r="M5" s="116" t="s">
        <v>43</v>
      </c>
      <c r="N5" s="116" t="s">
        <v>45</v>
      </c>
      <c r="O5" s="116" t="s">
        <v>43</v>
      </c>
      <c r="P5" s="117" t="s">
        <v>45</v>
      </c>
    </row>
    <row r="6" spans="1:16" ht="18" customHeight="1">
      <c r="A6" s="118" t="s">
        <v>46</v>
      </c>
      <c r="B6" s="119"/>
      <c r="C6" s="120">
        <f t="shared" ref="C6:D6" si="0">E6+G6+I6+K6+M6+O6</f>
        <v>2753440</v>
      </c>
      <c r="D6" s="121">
        <f t="shared" si="0"/>
        <v>1689716</v>
      </c>
      <c r="E6" s="122">
        <v>2454411</v>
      </c>
      <c r="F6" s="122">
        <v>1669040</v>
      </c>
      <c r="G6" s="122">
        <v>99374</v>
      </c>
      <c r="H6" s="122">
        <v>20676</v>
      </c>
      <c r="I6" s="122">
        <v>97128</v>
      </c>
      <c r="J6" s="123">
        <v>0</v>
      </c>
      <c r="K6" s="122">
        <v>68539</v>
      </c>
      <c r="L6" s="123">
        <v>0</v>
      </c>
      <c r="M6" s="122">
        <v>27040</v>
      </c>
      <c r="N6" s="123">
        <v>0</v>
      </c>
      <c r="O6" s="122">
        <v>6948</v>
      </c>
      <c r="P6" s="124">
        <v>0</v>
      </c>
    </row>
    <row r="7" spans="1:16" ht="18" customHeight="1">
      <c r="A7" s="118" t="s">
        <v>47</v>
      </c>
      <c r="B7" s="125"/>
      <c r="C7" s="120">
        <v>2783516</v>
      </c>
      <c r="D7" s="121">
        <v>1605087</v>
      </c>
      <c r="E7" s="122">
        <v>2484473</v>
      </c>
      <c r="F7" s="122">
        <v>1587209</v>
      </c>
      <c r="G7" s="122">
        <v>99388</v>
      </c>
      <c r="H7" s="122">
        <v>17878</v>
      </c>
      <c r="I7" s="122">
        <v>97128</v>
      </c>
      <c r="J7" s="123">
        <v>0</v>
      </c>
      <c r="K7" s="122">
        <v>68539</v>
      </c>
      <c r="L7" s="123">
        <v>0</v>
      </c>
      <c r="M7" s="122">
        <v>27040</v>
      </c>
      <c r="N7" s="123">
        <v>0</v>
      </c>
      <c r="O7" s="122">
        <v>6948</v>
      </c>
      <c r="P7" s="124">
        <v>0</v>
      </c>
    </row>
    <row r="8" spans="1:16" s="133" customFormat="1" ht="18" customHeight="1">
      <c r="A8" s="126" t="s">
        <v>252</v>
      </c>
      <c r="B8" s="127"/>
      <c r="C8" s="128">
        <f>SUM(C10:C16)</f>
        <v>2789046</v>
      </c>
      <c r="D8" s="129">
        <f t="shared" ref="D8:H8" si="1">SUM(D10:D16)</f>
        <v>1615317</v>
      </c>
      <c r="E8" s="130">
        <f>SUM(E10:E16)</f>
        <v>2490003</v>
      </c>
      <c r="F8" s="130">
        <f>SUM(F10:F16)</f>
        <v>1597439</v>
      </c>
      <c r="G8" s="130">
        <f t="shared" si="1"/>
        <v>99388</v>
      </c>
      <c r="H8" s="130">
        <f t="shared" si="1"/>
        <v>17878</v>
      </c>
      <c r="I8" s="130">
        <f t="shared" ref="I8:P8" si="2">SUM(I10:I16)</f>
        <v>97128</v>
      </c>
      <c r="J8" s="131">
        <f t="shared" si="2"/>
        <v>0</v>
      </c>
      <c r="K8" s="130">
        <f t="shared" si="2"/>
        <v>68539</v>
      </c>
      <c r="L8" s="131">
        <f t="shared" si="2"/>
        <v>0</v>
      </c>
      <c r="M8" s="130">
        <f t="shared" si="2"/>
        <v>27040</v>
      </c>
      <c r="N8" s="131">
        <f t="shared" si="2"/>
        <v>0</v>
      </c>
      <c r="O8" s="130">
        <f t="shared" si="2"/>
        <v>6948</v>
      </c>
      <c r="P8" s="132">
        <f t="shared" si="2"/>
        <v>0</v>
      </c>
    </row>
    <row r="9" spans="1:16" ht="18" customHeight="1">
      <c r="A9" s="134"/>
      <c r="B9" s="135"/>
      <c r="C9" s="120"/>
      <c r="D9" s="121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36"/>
    </row>
    <row r="10" spans="1:16" ht="18" customHeight="1">
      <c r="A10" s="134"/>
      <c r="B10" s="137" t="s">
        <v>48</v>
      </c>
      <c r="C10" s="120">
        <f>SUM(E10,G10,I10,K10,M10,O10)</f>
        <v>466293</v>
      </c>
      <c r="D10" s="121">
        <f>SUM(F10,H10,J10,L10,N10,P10)</f>
        <v>230596</v>
      </c>
      <c r="E10" s="122">
        <f>413177+570</f>
        <v>413747</v>
      </c>
      <c r="F10" s="122">
        <v>230029</v>
      </c>
      <c r="G10" s="122">
        <v>14335</v>
      </c>
      <c r="H10" s="123">
        <v>567</v>
      </c>
      <c r="I10" s="122">
        <v>600</v>
      </c>
      <c r="J10" s="123">
        <v>0</v>
      </c>
      <c r="K10" s="123">
        <v>8451</v>
      </c>
      <c r="L10" s="123">
        <v>0</v>
      </c>
      <c r="M10" s="122">
        <v>26840</v>
      </c>
      <c r="N10" s="123">
        <v>0</v>
      </c>
      <c r="O10" s="122">
        <v>2320</v>
      </c>
      <c r="P10" s="124">
        <v>0</v>
      </c>
    </row>
    <row r="11" spans="1:16" ht="18" customHeight="1">
      <c r="A11" s="134"/>
      <c r="B11" s="137" t="s">
        <v>49</v>
      </c>
      <c r="C11" s="120">
        <f>SUM(E11,G11,I11,K11,M11,O11)</f>
        <v>471055</v>
      </c>
      <c r="D11" s="121">
        <f t="shared" ref="C11:D16" si="3">SUM(F11,H11,J11,L11,N11,P11)</f>
        <v>287845</v>
      </c>
      <c r="E11" s="122">
        <f>438825+1675</f>
        <v>440500</v>
      </c>
      <c r="F11" s="122">
        <v>287845</v>
      </c>
      <c r="G11" s="122">
        <v>5904</v>
      </c>
      <c r="H11" s="123">
        <v>0</v>
      </c>
      <c r="I11" s="122">
        <v>24651</v>
      </c>
      <c r="J11" s="123">
        <v>0</v>
      </c>
      <c r="K11" s="123">
        <v>0</v>
      </c>
      <c r="L11" s="123">
        <v>0</v>
      </c>
      <c r="M11" s="123">
        <v>0</v>
      </c>
      <c r="N11" s="123">
        <v>0</v>
      </c>
      <c r="O11" s="123">
        <v>0</v>
      </c>
      <c r="P11" s="124">
        <v>0</v>
      </c>
    </row>
    <row r="12" spans="1:16" ht="18" customHeight="1">
      <c r="A12" s="134"/>
      <c r="B12" s="137" t="s">
        <v>50</v>
      </c>
      <c r="C12" s="120">
        <f t="shared" si="3"/>
        <v>335963</v>
      </c>
      <c r="D12" s="121">
        <f t="shared" si="3"/>
        <v>230805</v>
      </c>
      <c r="E12" s="122">
        <f>296923+520-1489</f>
        <v>295954</v>
      </c>
      <c r="F12" s="122">
        <v>230153</v>
      </c>
      <c r="G12" s="122">
        <v>8281</v>
      </c>
      <c r="H12" s="123">
        <v>652</v>
      </c>
      <c r="I12" s="122">
        <v>26359</v>
      </c>
      <c r="J12" s="123">
        <v>0</v>
      </c>
      <c r="K12" s="122">
        <v>5369</v>
      </c>
      <c r="L12" s="123">
        <v>0</v>
      </c>
      <c r="M12" s="123">
        <v>0</v>
      </c>
      <c r="N12" s="123">
        <v>0</v>
      </c>
      <c r="O12" s="123">
        <v>0</v>
      </c>
      <c r="P12" s="124">
        <v>0</v>
      </c>
    </row>
    <row r="13" spans="1:16" ht="18" customHeight="1">
      <c r="A13" s="134"/>
      <c r="B13" s="137" t="s">
        <v>51</v>
      </c>
      <c r="C13" s="120">
        <f t="shared" si="3"/>
        <v>376053</v>
      </c>
      <c r="D13" s="121">
        <f t="shared" si="3"/>
        <v>217036</v>
      </c>
      <c r="E13" s="122">
        <f>333037+460</f>
        <v>333497</v>
      </c>
      <c r="F13" s="122">
        <v>216637</v>
      </c>
      <c r="G13" s="122">
        <v>22673</v>
      </c>
      <c r="H13" s="123">
        <v>399</v>
      </c>
      <c r="I13" s="123">
        <v>0</v>
      </c>
      <c r="J13" s="123">
        <v>0</v>
      </c>
      <c r="K13" s="122">
        <v>19883</v>
      </c>
      <c r="L13" s="123">
        <v>0</v>
      </c>
      <c r="M13" s="123">
        <v>0</v>
      </c>
      <c r="N13" s="123">
        <v>0</v>
      </c>
      <c r="O13" s="123">
        <v>0</v>
      </c>
      <c r="P13" s="124">
        <v>0</v>
      </c>
    </row>
    <row r="14" spans="1:16" ht="18" customHeight="1">
      <c r="A14" s="134"/>
      <c r="B14" s="137" t="s">
        <v>52</v>
      </c>
      <c r="C14" s="120">
        <f t="shared" si="3"/>
        <v>360010</v>
      </c>
      <c r="D14" s="121">
        <f t="shared" si="3"/>
        <v>247946</v>
      </c>
      <c r="E14" s="122">
        <f>320348+290-21</f>
        <v>320617</v>
      </c>
      <c r="F14" s="122">
        <v>237119</v>
      </c>
      <c r="G14" s="122">
        <v>13834</v>
      </c>
      <c r="H14" s="122">
        <v>10827</v>
      </c>
      <c r="I14" s="122">
        <v>22841</v>
      </c>
      <c r="J14" s="123">
        <v>0</v>
      </c>
      <c r="K14" s="122">
        <v>2518</v>
      </c>
      <c r="L14" s="123">
        <v>0</v>
      </c>
      <c r="M14" s="122">
        <v>200</v>
      </c>
      <c r="N14" s="123">
        <v>0</v>
      </c>
      <c r="O14" s="123">
        <v>0</v>
      </c>
      <c r="P14" s="124">
        <v>0</v>
      </c>
    </row>
    <row r="15" spans="1:16" ht="18" customHeight="1">
      <c r="A15" s="134"/>
      <c r="B15" s="137" t="s">
        <v>53</v>
      </c>
      <c r="C15" s="120">
        <f t="shared" si="3"/>
        <v>465007</v>
      </c>
      <c r="D15" s="121">
        <f t="shared" si="3"/>
        <v>231249</v>
      </c>
      <c r="E15" s="122">
        <f>390500+436</f>
        <v>390936</v>
      </c>
      <c r="F15" s="122">
        <v>225816</v>
      </c>
      <c r="G15" s="122">
        <v>28530</v>
      </c>
      <c r="H15" s="122">
        <v>5433</v>
      </c>
      <c r="I15" s="122">
        <v>11214</v>
      </c>
      <c r="J15" s="123">
        <v>0</v>
      </c>
      <c r="K15" s="122">
        <v>29699</v>
      </c>
      <c r="L15" s="123">
        <v>0</v>
      </c>
      <c r="M15" s="123">
        <v>0</v>
      </c>
      <c r="N15" s="123">
        <v>0</v>
      </c>
      <c r="O15" s="138">
        <v>4628</v>
      </c>
      <c r="P15" s="124">
        <v>0</v>
      </c>
    </row>
    <row r="16" spans="1:16" ht="18" customHeight="1">
      <c r="A16" s="134"/>
      <c r="B16" s="137" t="s">
        <v>54</v>
      </c>
      <c r="C16" s="120">
        <f t="shared" si="3"/>
        <v>314665</v>
      </c>
      <c r="D16" s="121">
        <f t="shared" si="3"/>
        <v>169840</v>
      </c>
      <c r="E16" s="122">
        <f>294258+808-314</f>
        <v>294752</v>
      </c>
      <c r="F16" s="122">
        <v>169840</v>
      </c>
      <c r="G16" s="122">
        <v>5831</v>
      </c>
      <c r="H16" s="123">
        <v>0</v>
      </c>
      <c r="I16" s="122">
        <v>11463</v>
      </c>
      <c r="J16" s="123">
        <v>0</v>
      </c>
      <c r="K16" s="122">
        <v>2619</v>
      </c>
      <c r="L16" s="123">
        <v>0</v>
      </c>
      <c r="M16" s="123">
        <v>0</v>
      </c>
      <c r="N16" s="123">
        <v>0</v>
      </c>
      <c r="O16" s="123">
        <v>0</v>
      </c>
      <c r="P16" s="124">
        <v>0</v>
      </c>
    </row>
    <row r="17" spans="1:16" ht="18" customHeight="1">
      <c r="A17" s="134"/>
      <c r="B17" s="139"/>
      <c r="C17" s="120"/>
      <c r="D17" s="121"/>
      <c r="E17" s="122"/>
      <c r="F17" s="122"/>
      <c r="G17" s="122"/>
      <c r="H17" s="123"/>
      <c r="I17" s="122"/>
      <c r="J17" s="123"/>
      <c r="K17" s="122"/>
      <c r="L17" s="123"/>
      <c r="M17" s="123"/>
      <c r="N17" s="123"/>
      <c r="O17" s="123"/>
      <c r="P17" s="124"/>
    </row>
    <row r="18" spans="1:16" ht="30" customHeight="1" thickBot="1">
      <c r="A18" s="140" t="s">
        <v>55</v>
      </c>
      <c r="B18" s="141"/>
      <c r="C18" s="142"/>
      <c r="D18" s="143"/>
      <c r="E18" s="144">
        <f>F8-E8</f>
        <v>-892564</v>
      </c>
      <c r="F18" s="145"/>
      <c r="G18" s="145">
        <f>H8-G8</f>
        <v>-81510</v>
      </c>
      <c r="H18" s="145"/>
      <c r="I18" s="145">
        <v>-97128</v>
      </c>
      <c r="J18" s="146">
        <v>0</v>
      </c>
      <c r="K18" s="145">
        <v>-68539</v>
      </c>
      <c r="L18" s="146">
        <v>0</v>
      </c>
      <c r="M18" s="145">
        <v>-27040</v>
      </c>
      <c r="N18" s="146">
        <v>0</v>
      </c>
      <c r="O18" s="145">
        <v>-6948</v>
      </c>
      <c r="P18" s="147">
        <v>0</v>
      </c>
    </row>
    <row r="19" spans="1:16">
      <c r="B19" s="148" t="s">
        <v>253</v>
      </c>
      <c r="H19" s="149" t="s">
        <v>22</v>
      </c>
    </row>
    <row r="20" spans="1:16">
      <c r="B20" s="148" t="s">
        <v>56</v>
      </c>
    </row>
    <row r="24" spans="1:16" s="105" customFormat="1" ht="15.9" customHeight="1">
      <c r="A24" s="106" t="s">
        <v>254</v>
      </c>
      <c r="C24" s="104"/>
      <c r="D24" s="104"/>
    </row>
    <row r="25" spans="1:16" s="105" customFormat="1" ht="12" customHeight="1" thickBot="1">
      <c r="H25" s="21" t="s">
        <v>57</v>
      </c>
      <c r="K25" s="120"/>
      <c r="L25" s="120"/>
      <c r="M25" s="120"/>
      <c r="N25" s="120"/>
    </row>
    <row r="26" spans="1:16" s="157" customFormat="1" ht="30" customHeight="1">
      <c r="A26" s="150" t="s">
        <v>3</v>
      </c>
      <c r="B26" s="151"/>
      <c r="C26" s="152" t="s">
        <v>58</v>
      </c>
      <c r="D26" s="153" t="s">
        <v>59</v>
      </c>
      <c r="E26" s="154" t="s">
        <v>60</v>
      </c>
      <c r="F26" s="155" t="s">
        <v>61</v>
      </c>
      <c r="G26" s="154" t="s">
        <v>62</v>
      </c>
      <c r="H26" s="156" t="s">
        <v>63</v>
      </c>
      <c r="J26" s="158"/>
      <c r="K26" s="158"/>
      <c r="L26" s="158"/>
      <c r="M26" s="158"/>
      <c r="N26" s="158"/>
    </row>
    <row r="27" spans="1:16" s="165" customFormat="1" ht="16.5" customHeight="1">
      <c r="A27" s="159" t="s">
        <v>64</v>
      </c>
      <c r="B27" s="160"/>
      <c r="C27" s="161">
        <f>SUM(D27:H27)</f>
        <v>0</v>
      </c>
      <c r="D27" s="162">
        <f t="shared" ref="D27:H28" si="4">SUM(D30,D32,D34,D36,D38,D40,D42)</f>
        <v>0</v>
      </c>
      <c r="E27" s="163">
        <f t="shared" si="4"/>
        <v>0</v>
      </c>
      <c r="F27" s="163">
        <f t="shared" si="4"/>
        <v>0</v>
      </c>
      <c r="G27" s="163">
        <f t="shared" si="4"/>
        <v>0</v>
      </c>
      <c r="H27" s="164">
        <f t="shared" si="4"/>
        <v>0</v>
      </c>
      <c r="L27" s="166"/>
      <c r="M27" s="166"/>
      <c r="N27" s="167"/>
    </row>
    <row r="28" spans="1:16" s="174" customFormat="1" ht="16.5" customHeight="1">
      <c r="A28" s="168"/>
      <c r="B28" s="169"/>
      <c r="C28" s="170">
        <f>SUM(D28:H28)</f>
        <v>4759</v>
      </c>
      <c r="D28" s="171">
        <f t="shared" si="4"/>
        <v>2932</v>
      </c>
      <c r="E28" s="172">
        <f t="shared" si="4"/>
        <v>0</v>
      </c>
      <c r="F28" s="172">
        <f t="shared" si="4"/>
        <v>0</v>
      </c>
      <c r="G28" s="172">
        <f t="shared" si="4"/>
        <v>1827</v>
      </c>
      <c r="H28" s="173">
        <f t="shared" si="4"/>
        <v>0</v>
      </c>
      <c r="L28" s="175"/>
      <c r="M28" s="175"/>
      <c r="N28" s="176"/>
    </row>
    <row r="29" spans="1:16" s="105" customFormat="1" ht="16.5" customHeight="1">
      <c r="A29" s="134"/>
      <c r="B29" s="177"/>
      <c r="C29" s="178"/>
      <c r="D29" s="179"/>
      <c r="E29" s="122"/>
      <c r="F29" s="180"/>
      <c r="G29" s="180"/>
      <c r="H29" s="136"/>
      <c r="L29" s="181"/>
      <c r="M29" s="181"/>
      <c r="N29" s="120"/>
    </row>
    <row r="30" spans="1:16" s="105" customFormat="1" ht="16.5" customHeight="1">
      <c r="A30" s="134"/>
      <c r="B30" s="182" t="s">
        <v>48</v>
      </c>
      <c r="C30" s="183">
        <f t="shared" ref="C30:C43" si="5">SUM(D30:H30)</f>
        <v>0</v>
      </c>
      <c r="D30" s="184">
        <v>0</v>
      </c>
      <c r="E30" s="185">
        <v>0</v>
      </c>
      <c r="F30" s="185">
        <v>0</v>
      </c>
      <c r="G30" s="185">
        <v>0</v>
      </c>
      <c r="H30" s="186">
        <v>0</v>
      </c>
      <c r="L30" s="187"/>
      <c r="M30" s="187"/>
      <c r="N30" s="120"/>
    </row>
    <row r="31" spans="1:16" s="193" customFormat="1" ht="16.5" customHeight="1">
      <c r="A31" s="188"/>
      <c r="B31" s="182"/>
      <c r="C31" s="189">
        <f>SUM(D31:H31)</f>
        <v>570</v>
      </c>
      <c r="D31" s="190">
        <v>570</v>
      </c>
      <c r="E31" s="191">
        <v>0</v>
      </c>
      <c r="F31" s="191" t="s">
        <v>65</v>
      </c>
      <c r="G31" s="191" t="s">
        <v>65</v>
      </c>
      <c r="H31" s="192">
        <v>0</v>
      </c>
      <c r="L31" s="194"/>
      <c r="M31" s="194"/>
      <c r="N31" s="195"/>
    </row>
    <row r="32" spans="1:16" s="105" customFormat="1" ht="16.5" customHeight="1">
      <c r="A32" s="134"/>
      <c r="B32" s="182" t="s">
        <v>49</v>
      </c>
      <c r="C32" s="183">
        <f t="shared" si="5"/>
        <v>0</v>
      </c>
      <c r="D32" s="184">
        <v>0</v>
      </c>
      <c r="E32" s="185">
        <v>0</v>
      </c>
      <c r="F32" s="185">
        <v>0</v>
      </c>
      <c r="G32" s="185">
        <v>0</v>
      </c>
      <c r="H32" s="186">
        <v>0</v>
      </c>
      <c r="L32" s="187"/>
      <c r="M32" s="187"/>
      <c r="N32" s="120"/>
    </row>
    <row r="33" spans="1:14" s="193" customFormat="1" ht="16.5" customHeight="1">
      <c r="A33" s="188"/>
      <c r="B33" s="182"/>
      <c r="C33" s="189">
        <f t="shared" si="5"/>
        <v>1675</v>
      </c>
      <c r="D33" s="190">
        <v>1063</v>
      </c>
      <c r="E33" s="191">
        <v>0</v>
      </c>
      <c r="F33" s="191">
        <v>0</v>
      </c>
      <c r="G33" s="191">
        <v>612</v>
      </c>
      <c r="H33" s="192">
        <v>0</v>
      </c>
      <c r="L33" s="194"/>
      <c r="M33" s="194"/>
      <c r="N33" s="195"/>
    </row>
    <row r="34" spans="1:14" s="105" customFormat="1" ht="16.5" customHeight="1">
      <c r="A34" s="134"/>
      <c r="B34" s="182" t="s">
        <v>50</v>
      </c>
      <c r="C34" s="183">
        <f t="shared" si="5"/>
        <v>0</v>
      </c>
      <c r="D34" s="184">
        <v>0</v>
      </c>
      <c r="E34" s="185">
        <v>0</v>
      </c>
      <c r="F34" s="185">
        <v>0</v>
      </c>
      <c r="G34" s="185">
        <v>0</v>
      </c>
      <c r="H34" s="186">
        <v>0</v>
      </c>
      <c r="L34" s="187"/>
      <c r="M34" s="187"/>
      <c r="N34" s="120"/>
    </row>
    <row r="35" spans="1:14" s="193" customFormat="1" ht="16.5" customHeight="1">
      <c r="A35" s="188"/>
      <c r="B35" s="182"/>
      <c r="C35" s="189">
        <f t="shared" si="5"/>
        <v>520</v>
      </c>
      <c r="D35" s="190">
        <v>520</v>
      </c>
      <c r="E35" s="191">
        <v>0</v>
      </c>
      <c r="F35" s="191">
        <v>0</v>
      </c>
      <c r="G35" s="191">
        <v>0</v>
      </c>
      <c r="H35" s="192">
        <v>0</v>
      </c>
      <c r="L35" s="194"/>
      <c r="M35" s="194"/>
      <c r="N35" s="195"/>
    </row>
    <row r="36" spans="1:14" s="105" customFormat="1" ht="16.5" customHeight="1">
      <c r="A36" s="134"/>
      <c r="B36" s="182" t="s">
        <v>51</v>
      </c>
      <c r="C36" s="183">
        <f t="shared" si="5"/>
        <v>0</v>
      </c>
      <c r="D36" s="184">
        <v>0</v>
      </c>
      <c r="E36" s="185">
        <v>0</v>
      </c>
      <c r="F36" s="185">
        <v>0</v>
      </c>
      <c r="G36" s="185">
        <v>0</v>
      </c>
      <c r="H36" s="186">
        <v>0</v>
      </c>
      <c r="L36" s="187"/>
      <c r="M36" s="187"/>
      <c r="N36" s="120"/>
    </row>
    <row r="37" spans="1:14" s="193" customFormat="1" ht="16.5" customHeight="1">
      <c r="A37" s="188"/>
      <c r="B37" s="182"/>
      <c r="C37" s="189">
        <f t="shared" si="5"/>
        <v>460</v>
      </c>
      <c r="D37" s="190">
        <v>240</v>
      </c>
      <c r="E37" s="191">
        <v>0</v>
      </c>
      <c r="F37" s="191">
        <v>0</v>
      </c>
      <c r="G37" s="191">
        <v>220</v>
      </c>
      <c r="H37" s="192">
        <v>0</v>
      </c>
      <c r="L37" s="194"/>
      <c r="M37" s="194"/>
      <c r="N37" s="195"/>
    </row>
    <row r="38" spans="1:14" s="105" customFormat="1" ht="16.5" customHeight="1">
      <c r="A38" s="134"/>
      <c r="B38" s="182" t="s">
        <v>52</v>
      </c>
      <c r="C38" s="183">
        <f t="shared" si="5"/>
        <v>0</v>
      </c>
      <c r="D38" s="184">
        <v>0</v>
      </c>
      <c r="E38" s="185">
        <v>0</v>
      </c>
      <c r="F38" s="185">
        <v>0</v>
      </c>
      <c r="G38" s="185">
        <v>0</v>
      </c>
      <c r="H38" s="186">
        <v>0</v>
      </c>
      <c r="L38" s="187"/>
      <c r="M38" s="187"/>
      <c r="N38" s="120"/>
    </row>
    <row r="39" spans="1:14" s="193" customFormat="1" ht="16.5" customHeight="1">
      <c r="A39" s="188"/>
      <c r="B39" s="182"/>
      <c r="C39" s="189">
        <f t="shared" si="5"/>
        <v>290</v>
      </c>
      <c r="D39" s="190">
        <v>290</v>
      </c>
      <c r="E39" s="191">
        <v>0</v>
      </c>
      <c r="F39" s="191">
        <v>0</v>
      </c>
      <c r="G39" s="191">
        <v>0</v>
      </c>
      <c r="H39" s="192">
        <v>0</v>
      </c>
      <c r="L39" s="194"/>
      <c r="M39" s="194"/>
      <c r="N39" s="195"/>
    </row>
    <row r="40" spans="1:14" s="105" customFormat="1" ht="16.5" customHeight="1">
      <c r="A40" s="134"/>
      <c r="B40" s="182" t="s">
        <v>53</v>
      </c>
      <c r="C40" s="183">
        <f t="shared" si="5"/>
        <v>0</v>
      </c>
      <c r="D40" s="184">
        <v>0</v>
      </c>
      <c r="E40" s="185">
        <v>0</v>
      </c>
      <c r="F40" s="185">
        <v>0</v>
      </c>
      <c r="G40" s="185">
        <v>0</v>
      </c>
      <c r="H40" s="186">
        <v>0</v>
      </c>
      <c r="L40" s="187"/>
      <c r="M40" s="187"/>
      <c r="N40" s="120"/>
    </row>
    <row r="41" spans="1:14" s="193" customFormat="1" ht="16.5" customHeight="1">
      <c r="A41" s="188"/>
      <c r="B41" s="182"/>
      <c r="C41" s="189">
        <f t="shared" si="5"/>
        <v>436</v>
      </c>
      <c r="D41" s="190">
        <v>249</v>
      </c>
      <c r="E41" s="191">
        <v>0</v>
      </c>
      <c r="F41" s="191">
        <v>0</v>
      </c>
      <c r="G41" s="191">
        <v>187</v>
      </c>
      <c r="H41" s="192">
        <v>0</v>
      </c>
      <c r="L41" s="194"/>
      <c r="M41" s="194"/>
      <c r="N41" s="195"/>
    </row>
    <row r="42" spans="1:14" s="105" customFormat="1" ht="16.5" customHeight="1">
      <c r="A42" s="134"/>
      <c r="B42" s="182" t="s">
        <v>54</v>
      </c>
      <c r="C42" s="183">
        <f t="shared" si="5"/>
        <v>0</v>
      </c>
      <c r="D42" s="184">
        <v>0</v>
      </c>
      <c r="E42" s="185">
        <v>0</v>
      </c>
      <c r="F42" s="185">
        <v>0</v>
      </c>
      <c r="G42" s="185">
        <v>0</v>
      </c>
      <c r="H42" s="196">
        <v>0</v>
      </c>
      <c r="L42" s="187"/>
      <c r="M42" s="187"/>
      <c r="N42" s="120"/>
    </row>
    <row r="43" spans="1:14" s="193" customFormat="1" ht="16.5" customHeight="1">
      <c r="A43" s="188"/>
      <c r="B43" s="182"/>
      <c r="C43" s="189">
        <f t="shared" si="5"/>
        <v>808</v>
      </c>
      <c r="D43" s="190">
        <v>0</v>
      </c>
      <c r="E43" s="191">
        <v>0</v>
      </c>
      <c r="F43" s="191">
        <v>0</v>
      </c>
      <c r="G43" s="191">
        <v>808</v>
      </c>
      <c r="H43" s="197">
        <v>0</v>
      </c>
      <c r="L43" s="194"/>
      <c r="M43" s="194"/>
      <c r="N43" s="195"/>
    </row>
    <row r="44" spans="1:14" s="105" customFormat="1" ht="16.5" customHeight="1" thickBot="1">
      <c r="A44" s="198"/>
      <c r="B44" s="199"/>
      <c r="C44" s="200"/>
      <c r="D44" s="201"/>
      <c r="E44" s="202"/>
      <c r="F44" s="202"/>
      <c r="G44" s="202"/>
      <c r="H44" s="203"/>
      <c r="L44" s="120"/>
      <c r="M44" s="120"/>
      <c r="N44" s="120"/>
    </row>
    <row r="45" spans="1:14" s="105" customFormat="1" ht="12" customHeight="1">
      <c r="B45" s="148" t="s">
        <v>253</v>
      </c>
      <c r="C45" s="148"/>
      <c r="D45" s="148"/>
      <c r="H45" s="149" t="s">
        <v>22</v>
      </c>
      <c r="J45" s="120"/>
      <c r="K45" s="120"/>
      <c r="L45" s="120"/>
    </row>
    <row r="46" spans="1:14" s="105" customFormat="1" ht="12" customHeight="1">
      <c r="B46" s="148" t="s">
        <v>66</v>
      </c>
      <c r="C46" s="148"/>
      <c r="D46" s="148"/>
      <c r="J46" s="120"/>
      <c r="K46" s="120"/>
      <c r="L46" s="120"/>
    </row>
    <row r="47" spans="1:14" s="105" customFormat="1" ht="12" customHeight="1">
      <c r="J47" s="120"/>
      <c r="K47" s="120"/>
      <c r="L47" s="120"/>
    </row>
    <row r="48" spans="1:14" s="105" customFormat="1" ht="12" customHeight="1">
      <c r="J48" s="120"/>
      <c r="K48" s="120"/>
      <c r="L48" s="120"/>
    </row>
  </sheetData>
  <mergeCells count="14">
    <mergeCell ref="B40:B41"/>
    <mergeCell ref="B42:B43"/>
    <mergeCell ref="A27:B28"/>
    <mergeCell ref="B30:B31"/>
    <mergeCell ref="B32:B33"/>
    <mergeCell ref="B34:B35"/>
    <mergeCell ref="B36:B37"/>
    <mergeCell ref="B38:B39"/>
    <mergeCell ref="A26:B26"/>
    <mergeCell ref="A18:B18"/>
    <mergeCell ref="A4:B5"/>
    <mergeCell ref="A6:B6"/>
    <mergeCell ref="A7:B7"/>
    <mergeCell ref="A8:B8"/>
  </mergeCells>
  <phoneticPr fontId="1"/>
  <pageMargins left="0.70866141732283472" right="0.70866141732283472" top="0.78740157480314965" bottom="0.19685039370078741" header="0.35433070866141736" footer="0"/>
  <pageSetup paperSize="9" firstPageNumber="40" fitToWidth="2" orientation="portrait" useFirstPageNumber="1" r:id="rId1"/>
  <headerFooter differentOddEven="1" scaleWithDoc="0" alignWithMargins="0">
    <oddHeader>&amp;R&amp;"ＭＳ Ｐ明朝,標準"Ⅳ林　　道　　　　　- &amp;P -</oddHeader>
    <evenHeader>&amp;L&amp;"ＭＳ Ｐ明朝,標準"- &amp;P -</evenHeader>
  </headerFooter>
  <colBreaks count="1" manualBreakCount="1">
    <brk id="8" max="49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F0"/>
  </sheetPr>
  <dimension ref="A1:HG62"/>
  <sheetViews>
    <sheetView showGridLines="0" view="pageBreakPreview" zoomScaleNormal="100" zoomScaleSheetLayoutView="100" workbookViewId="0">
      <selection sqref="A1:XFD1048576"/>
    </sheetView>
  </sheetViews>
  <sheetFormatPr defaultColWidth="9" defaultRowHeight="12"/>
  <cols>
    <col min="1" max="1" width="5.6640625" style="208" customWidth="1"/>
    <col min="2" max="2" width="13.6640625" style="208" customWidth="1"/>
    <col min="3" max="4" width="10.33203125" style="208" customWidth="1"/>
    <col min="5" max="5" width="9.44140625" style="208" customWidth="1"/>
    <col min="6" max="6" width="9.6640625" style="208" customWidth="1"/>
    <col min="7" max="7" width="10.109375" style="208" customWidth="1"/>
    <col min="8" max="9" width="9.6640625" style="208" customWidth="1"/>
    <col min="10" max="16384" width="9" style="208"/>
  </cols>
  <sheetData>
    <row r="1" spans="1:215" s="206" customFormat="1" ht="24" customHeight="1">
      <c r="A1" s="204" t="s">
        <v>67</v>
      </c>
      <c r="B1" s="205"/>
      <c r="C1" s="205"/>
      <c r="D1" s="205"/>
      <c r="E1" s="120"/>
      <c r="F1" s="120"/>
      <c r="G1" s="120"/>
      <c r="H1" s="120"/>
      <c r="I1" s="120"/>
    </row>
    <row r="2" spans="1:215" ht="15.9" customHeight="1">
      <c r="A2" s="207"/>
      <c r="B2" s="205"/>
      <c r="C2" s="205"/>
      <c r="D2" s="205"/>
      <c r="E2" s="120"/>
      <c r="F2" s="120"/>
      <c r="G2" s="120"/>
      <c r="H2" s="120"/>
      <c r="I2" s="120"/>
    </row>
    <row r="3" spans="1:215" ht="12" customHeight="1" thickBot="1">
      <c r="A3" s="120"/>
      <c r="B3" s="120"/>
      <c r="C3" s="120"/>
      <c r="D3" s="120"/>
      <c r="E3" s="120"/>
      <c r="F3" s="120"/>
      <c r="G3" s="120"/>
      <c r="H3" s="120"/>
      <c r="I3" s="209" t="s">
        <v>35</v>
      </c>
    </row>
    <row r="4" spans="1:215" ht="13.5" customHeight="1" thickBot="1">
      <c r="A4" s="210" t="s">
        <v>68</v>
      </c>
      <c r="B4" s="27"/>
      <c r="C4" s="211" t="s">
        <v>69</v>
      </c>
      <c r="D4" s="212" t="s">
        <v>70</v>
      </c>
      <c r="E4" s="213" t="s">
        <v>71</v>
      </c>
      <c r="F4" s="214"/>
      <c r="G4" s="214"/>
      <c r="H4" s="214"/>
      <c r="I4" s="151"/>
      <c r="K4" s="215"/>
    </row>
    <row r="5" spans="1:215" s="224" customFormat="1" ht="24" customHeight="1">
      <c r="A5" s="216"/>
      <c r="B5" s="217"/>
      <c r="C5" s="218"/>
      <c r="D5" s="219"/>
      <c r="E5" s="220" t="s">
        <v>72</v>
      </c>
      <c r="F5" s="221" t="s">
        <v>73</v>
      </c>
      <c r="G5" s="222" t="s">
        <v>74</v>
      </c>
      <c r="H5" s="222" t="s">
        <v>75</v>
      </c>
      <c r="I5" s="223" t="s">
        <v>76</v>
      </c>
      <c r="J5" s="208"/>
      <c r="K5" s="208"/>
      <c r="L5" s="208"/>
      <c r="M5" s="208"/>
      <c r="N5" s="208"/>
      <c r="O5" s="208"/>
      <c r="P5" s="208"/>
      <c r="Q5" s="208"/>
      <c r="R5" s="208"/>
      <c r="S5" s="208"/>
      <c r="T5" s="208"/>
      <c r="U5" s="208"/>
      <c r="V5" s="208"/>
      <c r="W5" s="208"/>
      <c r="X5" s="208"/>
      <c r="Y5" s="208"/>
      <c r="Z5" s="208"/>
      <c r="AA5" s="208"/>
      <c r="AB5" s="208"/>
      <c r="AC5" s="208"/>
      <c r="AD5" s="208"/>
      <c r="AE5" s="208"/>
      <c r="AF5" s="208"/>
      <c r="AG5" s="208"/>
      <c r="AH5" s="208"/>
      <c r="AI5" s="208"/>
      <c r="AJ5" s="208"/>
      <c r="AK5" s="208"/>
      <c r="AL5" s="208"/>
      <c r="AM5" s="208"/>
      <c r="AN5" s="208"/>
      <c r="AO5" s="208"/>
      <c r="AP5" s="208"/>
      <c r="AQ5" s="208"/>
      <c r="AR5" s="208"/>
      <c r="AS5" s="208"/>
      <c r="AT5" s="208"/>
      <c r="AU5" s="208"/>
      <c r="AV5" s="208"/>
      <c r="AW5" s="208"/>
      <c r="AX5" s="208"/>
      <c r="AY5" s="208"/>
      <c r="AZ5" s="208"/>
      <c r="BA5" s="208"/>
      <c r="BB5" s="208"/>
      <c r="BC5" s="208"/>
      <c r="BD5" s="208"/>
      <c r="BE5" s="208"/>
      <c r="BF5" s="208"/>
      <c r="BG5" s="208"/>
      <c r="BH5" s="208"/>
      <c r="BI5" s="208"/>
      <c r="BJ5" s="208"/>
      <c r="BK5" s="208"/>
      <c r="BL5" s="208"/>
      <c r="BM5" s="208"/>
      <c r="BN5" s="208"/>
      <c r="BO5" s="208"/>
      <c r="BP5" s="208"/>
      <c r="BQ5" s="208"/>
      <c r="BR5" s="208"/>
      <c r="BS5" s="208"/>
      <c r="BT5" s="208"/>
      <c r="BU5" s="208"/>
      <c r="BV5" s="208"/>
      <c r="BW5" s="208"/>
      <c r="BX5" s="208"/>
      <c r="BY5" s="208"/>
      <c r="BZ5" s="208"/>
      <c r="CA5" s="208"/>
      <c r="CB5" s="208"/>
      <c r="CC5" s="208"/>
      <c r="CD5" s="208"/>
      <c r="CE5" s="208"/>
      <c r="CF5" s="208"/>
      <c r="CG5" s="208"/>
      <c r="CH5" s="208"/>
      <c r="CI5" s="208"/>
      <c r="CJ5" s="208"/>
      <c r="CK5" s="208"/>
      <c r="CL5" s="208"/>
      <c r="CM5" s="208"/>
      <c r="CN5" s="208"/>
      <c r="CO5" s="208"/>
      <c r="CP5" s="208"/>
      <c r="CQ5" s="208"/>
      <c r="CR5" s="208"/>
      <c r="CS5" s="208"/>
      <c r="CT5" s="208"/>
      <c r="CU5" s="208"/>
      <c r="CV5" s="208"/>
      <c r="CW5" s="208"/>
      <c r="CX5" s="208"/>
      <c r="CY5" s="208"/>
      <c r="CZ5" s="208"/>
      <c r="DA5" s="208"/>
      <c r="DB5" s="208"/>
      <c r="DC5" s="208"/>
      <c r="DD5" s="208"/>
      <c r="DE5" s="208"/>
      <c r="DF5" s="208"/>
      <c r="DG5" s="208"/>
      <c r="DH5" s="208"/>
      <c r="DI5" s="208"/>
      <c r="DJ5" s="208"/>
      <c r="DK5" s="208"/>
      <c r="DL5" s="208"/>
      <c r="DM5" s="208"/>
      <c r="DN5" s="208"/>
      <c r="DO5" s="208"/>
      <c r="DP5" s="208"/>
      <c r="DQ5" s="208"/>
      <c r="DR5" s="208"/>
      <c r="DS5" s="208"/>
      <c r="DT5" s="208"/>
      <c r="DU5" s="208"/>
      <c r="DV5" s="208"/>
      <c r="DW5" s="208"/>
      <c r="DX5" s="208"/>
      <c r="DY5" s="208"/>
      <c r="DZ5" s="208"/>
      <c r="EA5" s="208"/>
      <c r="EB5" s="208"/>
      <c r="EC5" s="208"/>
      <c r="ED5" s="208"/>
      <c r="EE5" s="208"/>
      <c r="EF5" s="208"/>
      <c r="EG5" s="208"/>
      <c r="EH5" s="208"/>
      <c r="EI5" s="208"/>
      <c r="EJ5" s="208"/>
      <c r="EK5" s="208"/>
      <c r="EL5" s="208"/>
      <c r="EM5" s="208"/>
      <c r="EN5" s="208"/>
      <c r="EO5" s="208"/>
      <c r="EP5" s="208"/>
      <c r="EQ5" s="208"/>
      <c r="ER5" s="208"/>
      <c r="ES5" s="208"/>
      <c r="ET5" s="208"/>
      <c r="EU5" s="208"/>
      <c r="EV5" s="208"/>
      <c r="EW5" s="208"/>
      <c r="EX5" s="208"/>
      <c r="EY5" s="208"/>
      <c r="EZ5" s="208"/>
      <c r="FA5" s="208"/>
      <c r="FB5" s="208"/>
      <c r="FC5" s="208"/>
      <c r="FD5" s="208"/>
      <c r="FE5" s="208"/>
      <c r="FF5" s="208"/>
      <c r="FG5" s="208"/>
      <c r="FH5" s="208"/>
      <c r="FI5" s="208"/>
      <c r="FJ5" s="208"/>
      <c r="FK5" s="208"/>
      <c r="FL5" s="208"/>
      <c r="FM5" s="208"/>
      <c r="FN5" s="208"/>
      <c r="FO5" s="208"/>
      <c r="FP5" s="208"/>
      <c r="FQ5" s="208"/>
      <c r="FR5" s="208"/>
      <c r="FS5" s="208"/>
      <c r="FT5" s="208"/>
      <c r="FU5" s="208"/>
      <c r="FV5" s="208"/>
      <c r="FW5" s="208"/>
      <c r="FX5" s="208"/>
      <c r="FY5" s="208"/>
      <c r="FZ5" s="208"/>
      <c r="GA5" s="208"/>
      <c r="GB5" s="208"/>
      <c r="GC5" s="208"/>
      <c r="GD5" s="208"/>
      <c r="GE5" s="208"/>
      <c r="GF5" s="208"/>
      <c r="GG5" s="208"/>
      <c r="GH5" s="208"/>
      <c r="GI5" s="208"/>
      <c r="GJ5" s="208"/>
      <c r="GK5" s="208"/>
      <c r="GL5" s="208"/>
      <c r="GM5" s="208"/>
      <c r="GN5" s="208"/>
      <c r="GO5" s="208"/>
      <c r="GP5" s="208"/>
      <c r="GQ5" s="208"/>
      <c r="GR5" s="208"/>
      <c r="GS5" s="208"/>
      <c r="GT5" s="208"/>
      <c r="GU5" s="208"/>
      <c r="GV5" s="208"/>
      <c r="GW5" s="208"/>
      <c r="GX5" s="208"/>
      <c r="GY5" s="208"/>
      <c r="GZ5" s="208"/>
      <c r="HA5" s="208"/>
      <c r="HB5" s="208"/>
      <c r="HC5" s="208"/>
      <c r="HD5" s="208"/>
      <c r="HE5" s="208"/>
      <c r="HF5" s="208"/>
      <c r="HG5" s="208"/>
    </row>
    <row r="6" spans="1:215" ht="14.1" customHeight="1">
      <c r="A6" s="118" t="s">
        <v>46</v>
      </c>
      <c r="B6" s="119"/>
      <c r="C6" s="225">
        <v>228890</v>
      </c>
      <c r="D6" s="225">
        <v>1678535</v>
      </c>
      <c r="E6" s="226">
        <v>6255</v>
      </c>
      <c r="F6" s="227">
        <v>-15750</v>
      </c>
      <c r="G6" s="228">
        <f>SUM(D6:F6)</f>
        <v>1669040</v>
      </c>
      <c r="H6" s="228">
        <v>675</v>
      </c>
      <c r="I6" s="229">
        <f>G6/C6</f>
        <v>7.2918869325877056</v>
      </c>
    </row>
    <row r="7" spans="1:215" ht="14.1" customHeight="1">
      <c r="A7" s="118" t="s">
        <v>77</v>
      </c>
      <c r="B7" s="125"/>
      <c r="C7" s="225">
        <v>231169.08999999991</v>
      </c>
      <c r="D7" s="225">
        <v>1587769</v>
      </c>
      <c r="E7" s="226">
        <v>4439</v>
      </c>
      <c r="F7" s="227">
        <v>-4999</v>
      </c>
      <c r="G7" s="228">
        <v>1587209</v>
      </c>
      <c r="H7" s="228">
        <v>656</v>
      </c>
      <c r="I7" s="229">
        <v>6.8660087730587192</v>
      </c>
    </row>
    <row r="8" spans="1:215" s="167" customFormat="1" ht="14.1" customHeight="1">
      <c r="A8" s="230" t="s">
        <v>255</v>
      </c>
      <c r="B8" s="231"/>
      <c r="C8" s="232">
        <f>SUM(C9,C16,C24,C42)</f>
        <v>230835.75</v>
      </c>
      <c r="D8" s="232">
        <f>SUM(D9,D16,D24,D42)</f>
        <v>1594504</v>
      </c>
      <c r="E8" s="233">
        <f t="shared" ref="E8:H8" si="0">SUM(E9,E16,E24,E42)</f>
        <v>4759</v>
      </c>
      <c r="F8" s="234">
        <f>SUM(F9,F16,F24,F42)</f>
        <v>-1824</v>
      </c>
      <c r="G8" s="234">
        <f>SUM(G9,G16,G24,G42)</f>
        <v>1597439</v>
      </c>
      <c r="H8" s="234">
        <f t="shared" si="0"/>
        <v>661</v>
      </c>
      <c r="I8" s="235">
        <f>G8/C8</f>
        <v>6.9202409072251587</v>
      </c>
    </row>
    <row r="9" spans="1:215" s="167" customFormat="1" ht="18" customHeight="1">
      <c r="A9" s="236" t="s">
        <v>78</v>
      </c>
      <c r="B9" s="237"/>
      <c r="C9" s="238">
        <f>C10</f>
        <v>54931.53</v>
      </c>
      <c r="D9" s="238">
        <f t="shared" ref="D9:I9" si="1">D10</f>
        <v>229459</v>
      </c>
      <c r="E9" s="239">
        <f t="shared" si="1"/>
        <v>570</v>
      </c>
      <c r="F9" s="240">
        <f t="shared" si="1"/>
        <v>0</v>
      </c>
      <c r="G9" s="241">
        <f t="shared" si="1"/>
        <v>230029</v>
      </c>
      <c r="H9" s="241">
        <f t="shared" si="1"/>
        <v>86</v>
      </c>
      <c r="I9" s="242">
        <f t="shared" si="1"/>
        <v>4.1875585842957586</v>
      </c>
    </row>
    <row r="10" spans="1:215" s="167" customFormat="1" ht="15.9" customHeight="1">
      <c r="A10" s="243" t="s">
        <v>79</v>
      </c>
      <c r="B10" s="244"/>
      <c r="C10" s="245">
        <f>SUM(C11:C15)</f>
        <v>54931.53</v>
      </c>
      <c r="D10" s="245">
        <f t="shared" ref="D10:H10" si="2">SUM(D11:D15)</f>
        <v>229459</v>
      </c>
      <c r="E10" s="246">
        <f t="shared" si="2"/>
        <v>570</v>
      </c>
      <c r="F10" s="247">
        <f t="shared" si="2"/>
        <v>0</v>
      </c>
      <c r="G10" s="247">
        <f t="shared" si="2"/>
        <v>230029</v>
      </c>
      <c r="H10" s="247">
        <f t="shared" si="2"/>
        <v>86</v>
      </c>
      <c r="I10" s="248">
        <f t="shared" ref="I10:I15" si="3">G10/C10</f>
        <v>4.1875585842957586</v>
      </c>
    </row>
    <row r="11" spans="1:215" ht="14.1" customHeight="1">
      <c r="A11" s="249"/>
      <c r="B11" s="137" t="s">
        <v>80</v>
      </c>
      <c r="C11" s="225">
        <v>9808.48</v>
      </c>
      <c r="D11" s="225">
        <v>84572</v>
      </c>
      <c r="E11" s="226">
        <v>0</v>
      </c>
      <c r="F11" s="228">
        <v>0</v>
      </c>
      <c r="G11" s="228">
        <f>SUM(D11:F11)</f>
        <v>84572</v>
      </c>
      <c r="H11" s="228">
        <v>31</v>
      </c>
      <c r="I11" s="229">
        <f>G11/C11</f>
        <v>8.6223349591373992</v>
      </c>
    </row>
    <row r="12" spans="1:215" ht="14.1" customHeight="1">
      <c r="A12" s="249"/>
      <c r="B12" s="137" t="s">
        <v>81</v>
      </c>
      <c r="C12" s="225">
        <v>27313.13</v>
      </c>
      <c r="D12" s="225">
        <v>60799</v>
      </c>
      <c r="E12" s="250">
        <v>0</v>
      </c>
      <c r="F12" s="228">
        <v>0</v>
      </c>
      <c r="G12" s="228">
        <f t="shared" ref="G12:G15" si="4">SUM(D12:F12)</f>
        <v>60799</v>
      </c>
      <c r="H12" s="228">
        <v>17</v>
      </c>
      <c r="I12" s="229">
        <f t="shared" si="3"/>
        <v>2.2259989975517267</v>
      </c>
    </row>
    <row r="13" spans="1:215" ht="14.1" customHeight="1">
      <c r="A13" s="249"/>
      <c r="B13" s="137" t="s">
        <v>82</v>
      </c>
      <c r="C13" s="225">
        <v>2970.05</v>
      </c>
      <c r="D13" s="225">
        <v>30218</v>
      </c>
      <c r="E13" s="226">
        <v>450</v>
      </c>
      <c r="F13" s="228">
        <v>0</v>
      </c>
      <c r="G13" s="228">
        <f t="shared" si="4"/>
        <v>30668</v>
      </c>
      <c r="H13" s="228">
        <v>5</v>
      </c>
      <c r="I13" s="229">
        <f t="shared" si="3"/>
        <v>10.325752091715627</v>
      </c>
    </row>
    <row r="14" spans="1:215" ht="14.1" customHeight="1">
      <c r="A14" s="249"/>
      <c r="B14" s="137" t="s">
        <v>83</v>
      </c>
      <c r="C14" s="225">
        <v>1400.53</v>
      </c>
      <c r="D14" s="225">
        <v>5283</v>
      </c>
      <c r="E14" s="226">
        <v>0</v>
      </c>
      <c r="F14" s="228">
        <v>0</v>
      </c>
      <c r="G14" s="228">
        <f t="shared" si="4"/>
        <v>5283</v>
      </c>
      <c r="H14" s="228">
        <v>4</v>
      </c>
      <c r="I14" s="229">
        <f>G14/C14</f>
        <v>3.7721434028546339</v>
      </c>
    </row>
    <row r="15" spans="1:215" ht="14.1" customHeight="1">
      <c r="A15" s="249"/>
      <c r="B15" s="137" t="s">
        <v>84</v>
      </c>
      <c r="C15" s="225">
        <v>13439.34</v>
      </c>
      <c r="D15" s="225">
        <v>48587</v>
      </c>
      <c r="E15" s="250">
        <v>120</v>
      </c>
      <c r="F15" s="228">
        <v>0</v>
      </c>
      <c r="G15" s="228">
        <f t="shared" si="4"/>
        <v>48707</v>
      </c>
      <c r="H15" s="228">
        <v>29</v>
      </c>
      <c r="I15" s="229">
        <f t="shared" si="3"/>
        <v>3.6242107127284524</v>
      </c>
    </row>
    <row r="16" spans="1:215" s="167" customFormat="1" ht="18" customHeight="1">
      <c r="A16" s="236" t="s">
        <v>85</v>
      </c>
      <c r="B16" s="237"/>
      <c r="C16" s="238">
        <f>C17</f>
        <v>44013.440000000002</v>
      </c>
      <c r="D16" s="238">
        <f>D17</f>
        <v>286170</v>
      </c>
      <c r="E16" s="239">
        <f>E17</f>
        <v>1675</v>
      </c>
      <c r="F16" s="240">
        <f>F17</f>
        <v>0</v>
      </c>
      <c r="G16" s="241">
        <f t="shared" ref="G16:I16" si="5">G17</f>
        <v>287845</v>
      </c>
      <c r="H16" s="241">
        <f t="shared" si="5"/>
        <v>98</v>
      </c>
      <c r="I16" s="242">
        <f t="shared" si="5"/>
        <v>6.5399341655639729</v>
      </c>
    </row>
    <row r="17" spans="1:9" s="167" customFormat="1" ht="15.9" customHeight="1">
      <c r="A17" s="243" t="s">
        <v>86</v>
      </c>
      <c r="B17" s="244"/>
      <c r="C17" s="245">
        <f>SUM(C18:C23)</f>
        <v>44013.440000000002</v>
      </c>
      <c r="D17" s="245">
        <f>SUM(D18:D23)</f>
        <v>286170</v>
      </c>
      <c r="E17" s="246">
        <f t="shared" ref="E17:H17" si="6">SUM(E18:E23)</f>
        <v>1675</v>
      </c>
      <c r="F17" s="251">
        <f t="shared" si="6"/>
        <v>0</v>
      </c>
      <c r="G17" s="247">
        <f t="shared" si="6"/>
        <v>287845</v>
      </c>
      <c r="H17" s="247">
        <f t="shared" si="6"/>
        <v>98</v>
      </c>
      <c r="I17" s="248">
        <f t="shared" ref="I17:I24" si="7">G17/C17</f>
        <v>6.5399341655639729</v>
      </c>
    </row>
    <row r="18" spans="1:9" ht="14.1" customHeight="1">
      <c r="A18" s="249"/>
      <c r="B18" s="137" t="s">
        <v>87</v>
      </c>
      <c r="C18" s="225">
        <v>8291.82</v>
      </c>
      <c r="D18" s="225">
        <v>55921</v>
      </c>
      <c r="E18" s="250">
        <v>315</v>
      </c>
      <c r="F18" s="252">
        <v>0</v>
      </c>
      <c r="G18" s="228">
        <f t="shared" ref="G18:G23" si="8">SUM(D18:F18)</f>
        <v>56236</v>
      </c>
      <c r="H18" s="228">
        <f>19+1</f>
        <v>20</v>
      </c>
      <c r="I18" s="229">
        <f>G18/C18</f>
        <v>6.7821057379441427</v>
      </c>
    </row>
    <row r="19" spans="1:9" ht="14.1" customHeight="1">
      <c r="A19" s="249"/>
      <c r="B19" s="137" t="s">
        <v>88</v>
      </c>
      <c r="C19" s="225">
        <v>7109.13</v>
      </c>
      <c r="D19" s="225">
        <v>36143</v>
      </c>
      <c r="E19" s="250">
        <v>0</v>
      </c>
      <c r="F19" s="252">
        <v>0</v>
      </c>
      <c r="G19" s="228">
        <f t="shared" si="8"/>
        <v>36143</v>
      </c>
      <c r="H19" s="228">
        <f>9+2</f>
        <v>11</v>
      </c>
      <c r="I19" s="229">
        <f t="shared" si="7"/>
        <v>5.0840257527995689</v>
      </c>
    </row>
    <row r="20" spans="1:9" ht="14.1" customHeight="1">
      <c r="A20" s="249"/>
      <c r="B20" s="137" t="s">
        <v>89</v>
      </c>
      <c r="C20" s="225">
        <v>10999.82</v>
      </c>
      <c r="D20" s="225">
        <v>28371</v>
      </c>
      <c r="E20" s="250">
        <v>0</v>
      </c>
      <c r="F20" s="252">
        <v>0</v>
      </c>
      <c r="G20" s="228">
        <f t="shared" si="8"/>
        <v>28371</v>
      </c>
      <c r="H20" s="228">
        <v>12</v>
      </c>
      <c r="I20" s="229">
        <f t="shared" si="7"/>
        <v>2.5792240236658417</v>
      </c>
    </row>
    <row r="21" spans="1:9" ht="14.1" customHeight="1">
      <c r="A21" s="249"/>
      <c r="B21" s="137" t="s">
        <v>90</v>
      </c>
      <c r="C21" s="225">
        <v>397.06</v>
      </c>
      <c r="D21" s="225">
        <v>3189</v>
      </c>
      <c r="E21" s="250">
        <v>0</v>
      </c>
      <c r="F21" s="252">
        <v>0</v>
      </c>
      <c r="G21" s="228">
        <f t="shared" si="8"/>
        <v>3189</v>
      </c>
      <c r="H21" s="253">
        <v>0</v>
      </c>
      <c r="I21" s="229">
        <f>G21/C21</f>
        <v>8.0315317584244195</v>
      </c>
    </row>
    <row r="22" spans="1:9" ht="14.1" customHeight="1">
      <c r="A22" s="249"/>
      <c r="B22" s="137" t="s">
        <v>91</v>
      </c>
      <c r="C22" s="225">
        <v>4682.82</v>
      </c>
      <c r="D22" s="225">
        <v>61862</v>
      </c>
      <c r="E22" s="250">
        <v>748</v>
      </c>
      <c r="F22" s="252">
        <v>0</v>
      </c>
      <c r="G22" s="228">
        <f t="shared" si="8"/>
        <v>62610</v>
      </c>
      <c r="H22" s="228">
        <v>20</v>
      </c>
      <c r="I22" s="229">
        <f t="shared" si="7"/>
        <v>13.370148756518509</v>
      </c>
    </row>
    <row r="23" spans="1:9" ht="14.1" customHeight="1">
      <c r="A23" s="249"/>
      <c r="B23" s="137" t="s">
        <v>92</v>
      </c>
      <c r="C23" s="225">
        <v>12532.79</v>
      </c>
      <c r="D23" s="225">
        <v>100684</v>
      </c>
      <c r="E23" s="250">
        <v>612</v>
      </c>
      <c r="F23" s="254">
        <v>0</v>
      </c>
      <c r="G23" s="228">
        <f t="shared" si="8"/>
        <v>101296</v>
      </c>
      <c r="H23" s="228">
        <v>35</v>
      </c>
      <c r="I23" s="229">
        <f t="shared" si="7"/>
        <v>8.0824780435960388</v>
      </c>
    </row>
    <row r="24" spans="1:9" s="167" customFormat="1" ht="18" customHeight="1">
      <c r="A24" s="236" t="s">
        <v>93</v>
      </c>
      <c r="B24" s="237"/>
      <c r="C24" s="238">
        <f t="shared" ref="C24:H24" si="9">SUM(C25,C32)</f>
        <v>48206.149999999994</v>
      </c>
      <c r="D24" s="238">
        <f t="shared" si="9"/>
        <v>447299</v>
      </c>
      <c r="E24" s="239">
        <f t="shared" si="9"/>
        <v>980</v>
      </c>
      <c r="F24" s="241">
        <f t="shared" si="9"/>
        <v>-1489</v>
      </c>
      <c r="G24" s="241">
        <f t="shared" si="9"/>
        <v>446790</v>
      </c>
      <c r="H24" s="241">
        <f t="shared" si="9"/>
        <v>193</v>
      </c>
      <c r="I24" s="242">
        <f t="shared" si="7"/>
        <v>9.2683194986531809</v>
      </c>
    </row>
    <row r="25" spans="1:9" s="167" customFormat="1" ht="15.9" customHeight="1">
      <c r="A25" s="243" t="s">
        <v>94</v>
      </c>
      <c r="B25" s="244"/>
      <c r="C25" s="245">
        <f>SUM(C26:C31)</f>
        <v>17817.36</v>
      </c>
      <c r="D25" s="245">
        <f t="shared" ref="D25:H25" si="10">SUM(D26:D31)</f>
        <v>231122</v>
      </c>
      <c r="E25" s="246">
        <f t="shared" si="10"/>
        <v>520</v>
      </c>
      <c r="F25" s="247">
        <f t="shared" si="10"/>
        <v>-1489</v>
      </c>
      <c r="G25" s="247">
        <f t="shared" si="10"/>
        <v>230153</v>
      </c>
      <c r="H25" s="247">
        <f t="shared" si="10"/>
        <v>108</v>
      </c>
      <c r="I25" s="248">
        <f>G25/C25</f>
        <v>12.917345779621671</v>
      </c>
    </row>
    <row r="26" spans="1:9" ht="14.1" customHeight="1">
      <c r="A26" s="249"/>
      <c r="B26" s="137" t="s">
        <v>95</v>
      </c>
      <c r="C26" s="225">
        <v>6333.04</v>
      </c>
      <c r="D26" s="255">
        <v>74688</v>
      </c>
      <c r="E26" s="250">
        <v>0</v>
      </c>
      <c r="F26" s="227">
        <v>-1489</v>
      </c>
      <c r="G26" s="228">
        <f>SUM(D26:F26)</f>
        <v>73199</v>
      </c>
      <c r="H26" s="227">
        <v>24</v>
      </c>
      <c r="I26" s="229">
        <f t="shared" ref="I26:I27" si="11">G26/C26</f>
        <v>11.558272172605889</v>
      </c>
    </row>
    <row r="27" spans="1:9" ht="14.1" customHeight="1">
      <c r="A27" s="249"/>
      <c r="B27" s="137" t="s">
        <v>96</v>
      </c>
      <c r="C27" s="225">
        <v>33.33</v>
      </c>
      <c r="D27" s="255">
        <v>0</v>
      </c>
      <c r="E27" s="250">
        <v>0</v>
      </c>
      <c r="F27" s="227">
        <v>0</v>
      </c>
      <c r="G27" s="228">
        <f t="shared" ref="G27:G31" si="12">SUM(D27:F27)</f>
        <v>0</v>
      </c>
      <c r="H27" s="227">
        <v>0</v>
      </c>
      <c r="I27" s="256">
        <f t="shared" si="11"/>
        <v>0</v>
      </c>
    </row>
    <row r="28" spans="1:9" ht="14.1" customHeight="1">
      <c r="A28" s="249"/>
      <c r="B28" s="137" t="s">
        <v>97</v>
      </c>
      <c r="C28" s="225">
        <v>10337.56</v>
      </c>
      <c r="D28" s="225">
        <v>142443</v>
      </c>
      <c r="E28" s="250">
        <v>520</v>
      </c>
      <c r="F28" s="228">
        <v>0</v>
      </c>
      <c r="G28" s="228">
        <f>SUM(D28:F28)</f>
        <v>142963</v>
      </c>
      <c r="H28" s="228">
        <v>75</v>
      </c>
      <c r="I28" s="229">
        <f>G28/C28</f>
        <v>13.829472331962283</v>
      </c>
    </row>
    <row r="29" spans="1:9" ht="14.1" customHeight="1">
      <c r="A29" s="249"/>
      <c r="B29" s="137" t="s">
        <v>98</v>
      </c>
      <c r="C29" s="225">
        <v>733.83</v>
      </c>
      <c r="D29" s="225">
        <v>7235</v>
      </c>
      <c r="E29" s="250">
        <v>0</v>
      </c>
      <c r="F29" s="228">
        <v>0</v>
      </c>
      <c r="G29" s="228">
        <f t="shared" si="12"/>
        <v>7235</v>
      </c>
      <c r="H29" s="228">
        <v>3</v>
      </c>
      <c r="I29" s="229">
        <f>G29/C29</f>
        <v>9.8592317021653511</v>
      </c>
    </row>
    <row r="30" spans="1:9" ht="14.1" customHeight="1">
      <c r="A30" s="249"/>
      <c r="B30" s="137" t="s">
        <v>99</v>
      </c>
      <c r="C30" s="225">
        <v>363.16</v>
      </c>
      <c r="D30" s="225">
        <v>6756</v>
      </c>
      <c r="E30" s="250">
        <v>0</v>
      </c>
      <c r="F30" s="228">
        <v>0</v>
      </c>
      <c r="G30" s="228">
        <f t="shared" si="12"/>
        <v>6756</v>
      </c>
      <c r="H30" s="228">
        <v>6</v>
      </c>
      <c r="I30" s="229">
        <f>G30/C30</f>
        <v>18.603370415243969</v>
      </c>
    </row>
    <row r="31" spans="1:9" ht="14.1" customHeight="1">
      <c r="A31" s="249"/>
      <c r="B31" s="137" t="s">
        <v>100</v>
      </c>
      <c r="C31" s="225">
        <v>16.440000000000001</v>
      </c>
      <c r="D31" s="255">
        <v>0</v>
      </c>
      <c r="E31" s="250">
        <v>0</v>
      </c>
      <c r="F31" s="227">
        <v>0</v>
      </c>
      <c r="G31" s="228">
        <f t="shared" si="12"/>
        <v>0</v>
      </c>
      <c r="H31" s="227">
        <v>0</v>
      </c>
      <c r="I31" s="256">
        <f>G31/C31</f>
        <v>0</v>
      </c>
    </row>
    <row r="32" spans="1:9" ht="15.9" customHeight="1">
      <c r="A32" s="243" t="s">
        <v>101</v>
      </c>
      <c r="B32" s="244"/>
      <c r="C32" s="245">
        <f t="shared" ref="C32:H32" si="13">SUM(C33:C41)</f>
        <v>30388.789999999994</v>
      </c>
      <c r="D32" s="245">
        <f>SUM(D33:D41)</f>
        <v>216177</v>
      </c>
      <c r="E32" s="246">
        <f t="shared" si="13"/>
        <v>460</v>
      </c>
      <c r="F32" s="247">
        <f t="shared" si="13"/>
        <v>0</v>
      </c>
      <c r="G32" s="247">
        <f t="shared" si="13"/>
        <v>216637</v>
      </c>
      <c r="H32" s="247">
        <f t="shared" si="13"/>
        <v>85</v>
      </c>
      <c r="I32" s="248">
        <f>G32/C32</f>
        <v>7.1288458671766808</v>
      </c>
    </row>
    <row r="33" spans="1:9" ht="14.1" customHeight="1">
      <c r="A33" s="249"/>
      <c r="B33" s="137" t="s">
        <v>102</v>
      </c>
      <c r="C33" s="225">
        <v>13599.16</v>
      </c>
      <c r="D33" s="225">
        <v>85126</v>
      </c>
      <c r="E33" s="250">
        <v>220</v>
      </c>
      <c r="F33" s="252">
        <v>0</v>
      </c>
      <c r="G33" s="227">
        <f t="shared" ref="G33:G41" si="14">SUM(D33:F33)</f>
        <v>85346</v>
      </c>
      <c r="H33" s="228">
        <v>46</v>
      </c>
      <c r="I33" s="229">
        <f t="shared" ref="I33:I42" si="15">G33/C33</f>
        <v>6.275828801190662</v>
      </c>
    </row>
    <row r="34" spans="1:9" ht="14.1" customHeight="1">
      <c r="A34" s="249"/>
      <c r="B34" s="137" t="s">
        <v>103</v>
      </c>
      <c r="C34" s="225">
        <v>890.07</v>
      </c>
      <c r="D34" s="255">
        <v>313</v>
      </c>
      <c r="E34" s="250">
        <v>0</v>
      </c>
      <c r="F34" s="227">
        <v>0</v>
      </c>
      <c r="G34" s="227">
        <f t="shared" si="14"/>
        <v>313</v>
      </c>
      <c r="H34" s="227">
        <v>1</v>
      </c>
      <c r="I34" s="257">
        <f t="shared" si="15"/>
        <v>0.35165773478490453</v>
      </c>
    </row>
    <row r="35" spans="1:9" ht="14.1" customHeight="1">
      <c r="A35" s="249"/>
      <c r="B35" s="137" t="s">
        <v>104</v>
      </c>
      <c r="C35" s="225">
        <v>30.46</v>
      </c>
      <c r="D35" s="255">
        <v>0</v>
      </c>
      <c r="E35" s="250">
        <v>0</v>
      </c>
      <c r="F35" s="227">
        <v>0</v>
      </c>
      <c r="G35" s="227">
        <f t="shared" si="14"/>
        <v>0</v>
      </c>
      <c r="H35" s="227">
        <v>0</v>
      </c>
      <c r="I35" s="257">
        <f t="shared" si="15"/>
        <v>0</v>
      </c>
    </row>
    <row r="36" spans="1:9" ht="14.1" customHeight="1">
      <c r="A36" s="249"/>
      <c r="B36" s="137" t="s">
        <v>105</v>
      </c>
      <c r="C36" s="225">
        <v>15805.82</v>
      </c>
      <c r="D36" s="225">
        <v>130738</v>
      </c>
      <c r="E36" s="226">
        <v>240</v>
      </c>
      <c r="F36" s="227">
        <v>0</v>
      </c>
      <c r="G36" s="228">
        <f t="shared" si="14"/>
        <v>130978</v>
      </c>
      <c r="H36" s="228">
        <f>37+1</f>
        <v>38</v>
      </c>
      <c r="I36" s="229">
        <f t="shared" si="15"/>
        <v>8.2866943948494924</v>
      </c>
    </row>
    <row r="37" spans="1:9" ht="14.1" customHeight="1">
      <c r="A37" s="249"/>
      <c r="B37" s="137" t="s">
        <v>106</v>
      </c>
      <c r="C37" s="225">
        <v>1.19</v>
      </c>
      <c r="D37" s="255">
        <v>0</v>
      </c>
      <c r="E37" s="250">
        <v>0</v>
      </c>
      <c r="F37" s="227">
        <v>0</v>
      </c>
      <c r="G37" s="227">
        <f t="shared" si="14"/>
        <v>0</v>
      </c>
      <c r="H37" s="227">
        <v>0</v>
      </c>
      <c r="I37" s="256">
        <f t="shared" si="15"/>
        <v>0</v>
      </c>
    </row>
    <row r="38" spans="1:9" ht="14.1" customHeight="1">
      <c r="A38" s="249"/>
      <c r="B38" s="137" t="s">
        <v>107</v>
      </c>
      <c r="C38" s="225">
        <v>1.62</v>
      </c>
      <c r="D38" s="255">
        <v>0</v>
      </c>
      <c r="E38" s="250">
        <v>0</v>
      </c>
      <c r="F38" s="227">
        <v>0</v>
      </c>
      <c r="G38" s="227">
        <f t="shared" si="14"/>
        <v>0</v>
      </c>
      <c r="H38" s="227">
        <v>0</v>
      </c>
      <c r="I38" s="256">
        <f t="shared" si="15"/>
        <v>0</v>
      </c>
    </row>
    <row r="39" spans="1:9" ht="14.1" customHeight="1">
      <c r="A39" s="249"/>
      <c r="B39" s="137" t="s">
        <v>108</v>
      </c>
      <c r="C39" s="225">
        <v>25.94</v>
      </c>
      <c r="D39" s="255">
        <v>0</v>
      </c>
      <c r="E39" s="250">
        <v>0</v>
      </c>
      <c r="F39" s="227">
        <v>0</v>
      </c>
      <c r="G39" s="227">
        <f t="shared" si="14"/>
        <v>0</v>
      </c>
      <c r="H39" s="227">
        <v>0</v>
      </c>
      <c r="I39" s="256">
        <f t="shared" si="15"/>
        <v>0</v>
      </c>
    </row>
    <row r="40" spans="1:9" ht="14.1" customHeight="1">
      <c r="A40" s="249"/>
      <c r="B40" s="137" t="s">
        <v>109</v>
      </c>
      <c r="C40" s="225">
        <v>1.76</v>
      </c>
      <c r="D40" s="255">
        <v>0</v>
      </c>
      <c r="E40" s="250">
        <v>0</v>
      </c>
      <c r="F40" s="227">
        <v>0</v>
      </c>
      <c r="G40" s="227">
        <f t="shared" si="14"/>
        <v>0</v>
      </c>
      <c r="H40" s="227">
        <v>0</v>
      </c>
      <c r="I40" s="256">
        <f t="shared" si="15"/>
        <v>0</v>
      </c>
    </row>
    <row r="41" spans="1:9" ht="14.1" customHeight="1">
      <c r="A41" s="258"/>
      <c r="B41" s="259" t="s">
        <v>110</v>
      </c>
      <c r="C41" s="260">
        <v>32.770000000000003</v>
      </c>
      <c r="D41" s="261">
        <v>0</v>
      </c>
      <c r="E41" s="262">
        <v>0</v>
      </c>
      <c r="F41" s="263">
        <v>0</v>
      </c>
      <c r="G41" s="263">
        <f t="shared" si="14"/>
        <v>0</v>
      </c>
      <c r="H41" s="263">
        <v>0</v>
      </c>
      <c r="I41" s="264">
        <f t="shared" si="15"/>
        <v>0</v>
      </c>
    </row>
    <row r="42" spans="1:9" ht="18" customHeight="1">
      <c r="A42" s="236" t="s">
        <v>111</v>
      </c>
      <c r="B42" s="237"/>
      <c r="C42" s="238">
        <f>SUM(C43,C46,C50)+1</f>
        <v>83684.63</v>
      </c>
      <c r="D42" s="238">
        <f t="shared" ref="D42:H42" si="16">SUM(D43,D46,D50)</f>
        <v>631576</v>
      </c>
      <c r="E42" s="239">
        <f t="shared" si="16"/>
        <v>1534</v>
      </c>
      <c r="F42" s="265">
        <f t="shared" si="16"/>
        <v>-335</v>
      </c>
      <c r="G42" s="241">
        <f t="shared" si="16"/>
        <v>632775</v>
      </c>
      <c r="H42" s="241">
        <f t="shared" si="16"/>
        <v>284</v>
      </c>
      <c r="I42" s="242">
        <f t="shared" si="15"/>
        <v>7.5614243619168775</v>
      </c>
    </row>
    <row r="43" spans="1:9" ht="15.9" customHeight="1">
      <c r="A43" s="243" t="s">
        <v>112</v>
      </c>
      <c r="B43" s="244"/>
      <c r="C43" s="245">
        <f t="shared" ref="C43:H43" si="17">SUM(C44:C45)</f>
        <v>27401.29</v>
      </c>
      <c r="D43" s="245">
        <f t="shared" si="17"/>
        <v>236850</v>
      </c>
      <c r="E43" s="246">
        <f t="shared" si="17"/>
        <v>290</v>
      </c>
      <c r="F43" s="247">
        <f t="shared" si="17"/>
        <v>-21</v>
      </c>
      <c r="G43" s="247">
        <f t="shared" si="17"/>
        <v>237119</v>
      </c>
      <c r="H43" s="247">
        <f t="shared" si="17"/>
        <v>115</v>
      </c>
      <c r="I43" s="248">
        <f>G43/C43</f>
        <v>8.6535706895551261</v>
      </c>
    </row>
    <row r="44" spans="1:9" ht="14.1" customHeight="1">
      <c r="A44" s="249"/>
      <c r="B44" s="137" t="s">
        <v>113</v>
      </c>
      <c r="C44" s="225">
        <v>17694</v>
      </c>
      <c r="D44" s="225">
        <v>158355</v>
      </c>
      <c r="E44" s="250">
        <v>290</v>
      </c>
      <c r="F44" s="227">
        <v>-21</v>
      </c>
      <c r="G44" s="227">
        <f t="shared" ref="G44:G45" si="18">SUM(D44:F44)</f>
        <v>158624</v>
      </c>
      <c r="H44" s="228">
        <f>71+1</f>
        <v>72</v>
      </c>
      <c r="I44" s="229">
        <f t="shared" ref="I44:I54" si="19">G44/C44</f>
        <v>8.964846840736973</v>
      </c>
    </row>
    <row r="45" spans="1:9" ht="14.1" customHeight="1">
      <c r="A45" s="249"/>
      <c r="B45" s="137" t="s">
        <v>114</v>
      </c>
      <c r="C45" s="225">
        <v>9707.2900000000009</v>
      </c>
      <c r="D45" s="225">
        <v>78495</v>
      </c>
      <c r="E45" s="226">
        <v>0</v>
      </c>
      <c r="F45" s="227">
        <v>0</v>
      </c>
      <c r="G45" s="227">
        <f t="shared" si="18"/>
        <v>78495</v>
      </c>
      <c r="H45" s="228">
        <v>43</v>
      </c>
      <c r="I45" s="229">
        <f t="shared" si="19"/>
        <v>8.0861908936479683</v>
      </c>
    </row>
    <row r="46" spans="1:9" s="167" customFormat="1" ht="15.9" customHeight="1">
      <c r="A46" s="243" t="s">
        <v>115</v>
      </c>
      <c r="B46" s="244"/>
      <c r="C46" s="245">
        <f>SUM(C47:C49)</f>
        <v>28830.420000000002</v>
      </c>
      <c r="D46" s="245">
        <f t="shared" ref="D46" si="20">SUM(D47:D49)</f>
        <v>225380</v>
      </c>
      <c r="E46" s="246">
        <f t="shared" ref="E46:H46" si="21">SUM(E47:E49)</f>
        <v>436</v>
      </c>
      <c r="F46" s="247">
        <f t="shared" si="21"/>
        <v>0</v>
      </c>
      <c r="G46" s="247">
        <f t="shared" si="21"/>
        <v>225816</v>
      </c>
      <c r="H46" s="247">
        <f t="shared" si="21"/>
        <v>89</v>
      </c>
      <c r="I46" s="248">
        <f t="shared" si="19"/>
        <v>7.8325601916309227</v>
      </c>
    </row>
    <row r="47" spans="1:9" ht="14.1" customHeight="1">
      <c r="A47" s="249"/>
      <c r="B47" s="137" t="s">
        <v>116</v>
      </c>
      <c r="C47" s="225">
        <v>10196.540000000001</v>
      </c>
      <c r="D47" s="225">
        <v>59003</v>
      </c>
      <c r="E47" s="226">
        <v>436</v>
      </c>
      <c r="F47" s="228">
        <v>0</v>
      </c>
      <c r="G47" s="228">
        <f t="shared" ref="G47:G49" si="22">SUM(D47:F47)</f>
        <v>59439</v>
      </c>
      <c r="H47" s="228">
        <f>28+1</f>
        <v>29</v>
      </c>
      <c r="I47" s="229">
        <f t="shared" si="19"/>
        <v>5.829330341468772</v>
      </c>
    </row>
    <row r="48" spans="1:9" ht="14.1" customHeight="1">
      <c r="A48" s="249"/>
      <c r="B48" s="137" t="s">
        <v>117</v>
      </c>
      <c r="C48" s="225">
        <v>10100.59</v>
      </c>
      <c r="D48" s="225">
        <v>67604</v>
      </c>
      <c r="E48" s="226">
        <v>0</v>
      </c>
      <c r="F48" s="227">
        <v>0</v>
      </c>
      <c r="G48" s="228">
        <f t="shared" si="22"/>
        <v>67604</v>
      </c>
      <c r="H48" s="228">
        <v>32</v>
      </c>
      <c r="I48" s="229">
        <f t="shared" si="19"/>
        <v>6.6930743649628388</v>
      </c>
    </row>
    <row r="49" spans="1:9" s="167" customFormat="1" ht="14.1" customHeight="1">
      <c r="A49" s="249"/>
      <c r="B49" s="137" t="s">
        <v>118</v>
      </c>
      <c r="C49" s="225">
        <v>8533.2900000000009</v>
      </c>
      <c r="D49" s="225">
        <v>98773</v>
      </c>
      <c r="E49" s="226">
        <v>0</v>
      </c>
      <c r="F49" s="228">
        <v>0</v>
      </c>
      <c r="G49" s="228">
        <f t="shared" si="22"/>
        <v>98773</v>
      </c>
      <c r="H49" s="228">
        <v>28</v>
      </c>
      <c r="I49" s="229">
        <f t="shared" si="19"/>
        <v>11.575019716896998</v>
      </c>
    </row>
    <row r="50" spans="1:9" ht="15.9" customHeight="1">
      <c r="A50" s="243" t="s">
        <v>119</v>
      </c>
      <c r="B50" s="244"/>
      <c r="C50" s="245">
        <f t="shared" ref="C50:H50" si="23">SUM(C51:C54)</f>
        <v>27451.920000000002</v>
      </c>
      <c r="D50" s="245">
        <f t="shared" si="23"/>
        <v>169346</v>
      </c>
      <c r="E50" s="246">
        <f t="shared" si="23"/>
        <v>808</v>
      </c>
      <c r="F50" s="247">
        <f t="shared" si="23"/>
        <v>-314</v>
      </c>
      <c r="G50" s="247">
        <f t="shared" si="23"/>
        <v>169840</v>
      </c>
      <c r="H50" s="247">
        <f t="shared" si="23"/>
        <v>80</v>
      </c>
      <c r="I50" s="248">
        <f t="shared" si="19"/>
        <v>6.1868168055276271</v>
      </c>
    </row>
    <row r="51" spans="1:9" ht="14.1" customHeight="1">
      <c r="A51" s="249"/>
      <c r="B51" s="137" t="s">
        <v>120</v>
      </c>
      <c r="C51" s="225">
        <v>4743.75</v>
      </c>
      <c r="D51" s="225">
        <v>29806</v>
      </c>
      <c r="E51" s="250">
        <v>0</v>
      </c>
      <c r="F51" s="227">
        <v>0</v>
      </c>
      <c r="G51" s="228">
        <f t="shared" ref="G51:G54" si="24">SUM(D51:F51)</f>
        <v>29806</v>
      </c>
      <c r="H51" s="228">
        <v>16</v>
      </c>
      <c r="I51" s="229">
        <f t="shared" si="19"/>
        <v>6.2832147562582348</v>
      </c>
    </row>
    <row r="52" spans="1:9" ht="14.1" customHeight="1">
      <c r="A52" s="249"/>
      <c r="B52" s="137" t="s">
        <v>121</v>
      </c>
      <c r="C52" s="225">
        <v>12747.97</v>
      </c>
      <c r="D52" s="225">
        <v>66340</v>
      </c>
      <c r="E52" s="226">
        <v>0</v>
      </c>
      <c r="F52" s="227">
        <v>0</v>
      </c>
      <c r="G52" s="228">
        <f t="shared" si="24"/>
        <v>66340</v>
      </c>
      <c r="H52" s="228">
        <v>37</v>
      </c>
      <c r="I52" s="229">
        <f t="shared" si="19"/>
        <v>5.2039658078894133</v>
      </c>
    </row>
    <row r="53" spans="1:9" ht="14.1" customHeight="1">
      <c r="A53" s="249"/>
      <c r="B53" s="137" t="s">
        <v>122</v>
      </c>
      <c r="C53" s="225">
        <v>7121.04</v>
      </c>
      <c r="D53" s="225">
        <v>30710</v>
      </c>
      <c r="E53" s="226">
        <v>63</v>
      </c>
      <c r="F53" s="227">
        <v>0</v>
      </c>
      <c r="G53" s="228">
        <f t="shared" si="24"/>
        <v>30773</v>
      </c>
      <c r="H53" s="228">
        <v>14</v>
      </c>
      <c r="I53" s="229">
        <f t="shared" si="19"/>
        <v>4.3214193432419981</v>
      </c>
    </row>
    <row r="54" spans="1:9" s="167" customFormat="1" ht="14.1" customHeight="1" thickBot="1">
      <c r="A54" s="198"/>
      <c r="B54" s="266" t="s">
        <v>123</v>
      </c>
      <c r="C54" s="267">
        <v>2839.16</v>
      </c>
      <c r="D54" s="267">
        <v>42490</v>
      </c>
      <c r="E54" s="268">
        <v>745</v>
      </c>
      <c r="F54" s="269">
        <v>-314</v>
      </c>
      <c r="G54" s="270">
        <f t="shared" si="24"/>
        <v>42921</v>
      </c>
      <c r="H54" s="270">
        <v>13</v>
      </c>
      <c r="I54" s="271">
        <f t="shared" si="19"/>
        <v>15.117499542118091</v>
      </c>
    </row>
    <row r="55" spans="1:9" ht="12" customHeight="1">
      <c r="A55" s="120"/>
      <c r="B55" s="120"/>
      <c r="C55" s="120"/>
      <c r="D55" s="120"/>
      <c r="E55" s="120"/>
      <c r="F55" s="120"/>
      <c r="G55" s="120"/>
      <c r="H55" s="120"/>
      <c r="I55" s="272" t="s">
        <v>124</v>
      </c>
    </row>
    <row r="56" spans="1:9" ht="9.9" customHeight="1">
      <c r="A56" s="273" t="s">
        <v>125</v>
      </c>
      <c r="B56" s="273"/>
      <c r="C56" s="273"/>
      <c r="D56" s="273"/>
      <c r="E56" s="273"/>
      <c r="F56" s="273"/>
      <c r="G56" s="273"/>
      <c r="H56" s="273"/>
      <c r="I56" s="273"/>
    </row>
    <row r="57" spans="1:9" ht="9.9" customHeight="1">
      <c r="A57" s="273" t="s">
        <v>126</v>
      </c>
      <c r="B57" s="273"/>
      <c r="C57" s="273"/>
      <c r="D57" s="273"/>
      <c r="E57" s="273"/>
      <c r="F57" s="273"/>
      <c r="G57" s="273"/>
      <c r="H57" s="273"/>
      <c r="I57" s="273"/>
    </row>
    <row r="58" spans="1:9" ht="9.9" customHeight="1">
      <c r="A58" s="273" t="s">
        <v>256</v>
      </c>
      <c r="B58" s="273"/>
      <c r="C58" s="273"/>
      <c r="D58" s="273"/>
      <c r="E58" s="273"/>
      <c r="F58" s="273"/>
      <c r="G58" s="273"/>
      <c r="H58" s="273"/>
      <c r="I58" s="273"/>
    </row>
    <row r="59" spans="1:9" ht="12" customHeight="1">
      <c r="A59" s="274"/>
      <c r="B59" s="275"/>
      <c r="C59" s="275"/>
      <c r="D59" s="275"/>
      <c r="E59" s="275"/>
      <c r="F59" s="275"/>
      <c r="G59" s="275"/>
      <c r="H59" s="275"/>
      <c r="I59" s="275"/>
    </row>
    <row r="60" spans="1:9" ht="12" customHeight="1"/>
    <row r="61" spans="1:9" ht="12" customHeight="1"/>
    <row r="62" spans="1:9">
      <c r="A62" s="276"/>
      <c r="B62" s="277"/>
      <c r="C62" s="278"/>
      <c r="D62" s="278"/>
      <c r="E62" s="278"/>
      <c r="F62" s="279"/>
      <c r="G62" s="278"/>
      <c r="H62" s="278"/>
      <c r="I62" s="280"/>
    </row>
  </sheetData>
  <mergeCells count="18">
    <mergeCell ref="A32:B32"/>
    <mergeCell ref="A7:B7"/>
    <mergeCell ref="E4:I4"/>
    <mergeCell ref="A6:B6"/>
    <mergeCell ref="A4:B5"/>
    <mergeCell ref="D4:D5"/>
    <mergeCell ref="A50:B50"/>
    <mergeCell ref="A8:B8"/>
    <mergeCell ref="A43:B43"/>
    <mergeCell ref="C4:C5"/>
    <mergeCell ref="A46:B46"/>
    <mergeCell ref="A9:B9"/>
    <mergeCell ref="A10:B10"/>
    <mergeCell ref="A17:B17"/>
    <mergeCell ref="A25:B25"/>
    <mergeCell ref="A42:B42"/>
    <mergeCell ref="A16:B16"/>
    <mergeCell ref="A24:B24"/>
  </mergeCells>
  <phoneticPr fontId="1"/>
  <dataValidations count="1">
    <dataValidation imeMode="hiragana" allowBlank="1" showInputMessage="1" showErrorMessage="1" sqref="A6:B54 A56:B59 I55 B55" xr:uid="{00000000-0002-0000-0200-000000000000}"/>
  </dataValidations>
  <pageMargins left="0.70866141732283472" right="0.70866141732283472" top="0.78740157480314965" bottom="0.19685039370078741" header="0.35433070866141736" footer="0"/>
  <pageSetup paperSize="9" scale="83" firstPageNumber="42" orientation="portrait" useFirstPageNumber="1" r:id="rId1"/>
  <headerFooter differentOddEven="1" scaleWithDoc="0" alignWithMargins="0">
    <oddHeader>&amp;R&amp;"ＭＳ Ｐ明朝,標準"Ⅳ林　　道　　　　　- &amp;P -</oddHeader>
    <evenHeader>&amp;L&amp;"ＭＳ Ｐ明朝,標準"- &amp;P -</even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F0"/>
  </sheetPr>
  <dimension ref="A1:V84"/>
  <sheetViews>
    <sheetView showGridLines="0" view="pageBreakPreview" topLeftCell="A35" zoomScaleNormal="100" zoomScaleSheetLayoutView="100" workbookViewId="0">
      <selection sqref="A1:XFD1048576"/>
    </sheetView>
  </sheetViews>
  <sheetFormatPr defaultColWidth="9" defaultRowHeight="12"/>
  <cols>
    <col min="1" max="1" width="12.109375" style="20" customWidth="1"/>
    <col min="2" max="2" width="4.88671875" style="20" customWidth="1"/>
    <col min="3" max="3" width="6.6640625" style="20" customWidth="1"/>
    <col min="4" max="4" width="4.6640625" style="20" customWidth="1"/>
    <col min="5" max="5" width="6.6640625" style="20" customWidth="1"/>
    <col min="6" max="6" width="5.44140625" style="20" bestFit="1" customWidth="1"/>
    <col min="7" max="7" width="7.109375" style="20" bestFit="1" customWidth="1"/>
    <col min="8" max="8" width="4.6640625" style="20" customWidth="1"/>
    <col min="9" max="9" width="6.109375" style="20" customWidth="1"/>
    <col min="10" max="10" width="4.88671875" style="20" customWidth="1"/>
    <col min="11" max="11" width="6.6640625" style="20" customWidth="1"/>
    <col min="12" max="12" width="5.44140625" style="20" bestFit="1" customWidth="1"/>
    <col min="13" max="13" width="6.109375" style="20" bestFit="1" customWidth="1"/>
    <col min="14" max="14" width="5.44140625" style="20" bestFit="1" customWidth="1"/>
    <col min="15" max="15" width="6.109375" style="20" customWidth="1"/>
    <col min="16" max="16" width="9" style="284"/>
    <col min="17" max="17" width="12.33203125" style="284" bestFit="1" customWidth="1"/>
    <col min="18" max="16384" width="9" style="284"/>
  </cols>
  <sheetData>
    <row r="1" spans="1:22" s="282" customFormat="1" ht="24" customHeight="1">
      <c r="A1" s="17" t="s">
        <v>127</v>
      </c>
      <c r="B1" s="281"/>
      <c r="C1" s="281"/>
      <c r="D1" s="281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</row>
    <row r="2" spans="1:22" s="282" customFormat="1" ht="15.9" customHeight="1">
      <c r="A2" s="281" t="s">
        <v>128</v>
      </c>
      <c r="B2" s="281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</row>
    <row r="3" spans="1:22" ht="12" customHeight="1" thickBot="1">
      <c r="K3" s="283" t="s">
        <v>35</v>
      </c>
    </row>
    <row r="4" spans="1:22" s="297" customFormat="1" ht="12.9" customHeight="1">
      <c r="A4" s="285" t="s">
        <v>129</v>
      </c>
      <c r="B4" s="286" t="s">
        <v>130</v>
      </c>
      <c r="C4" s="287"/>
      <c r="D4" s="288" t="s">
        <v>131</v>
      </c>
      <c r="E4" s="289"/>
      <c r="F4" s="290" t="s">
        <v>132</v>
      </c>
      <c r="G4" s="289"/>
      <c r="H4" s="290" t="s">
        <v>133</v>
      </c>
      <c r="I4" s="289"/>
      <c r="J4" s="290" t="s">
        <v>134</v>
      </c>
      <c r="K4" s="291"/>
      <c r="L4" s="292"/>
      <c r="M4" s="292"/>
      <c r="N4" s="292"/>
      <c r="O4" s="293"/>
      <c r="P4" s="294"/>
      <c r="Q4" s="295"/>
      <c r="R4" s="294"/>
      <c r="S4" s="294"/>
      <c r="T4" s="294"/>
      <c r="U4" s="296"/>
      <c r="V4" s="296"/>
    </row>
    <row r="5" spans="1:22" s="297" customFormat="1" ht="12.9" customHeight="1">
      <c r="A5" s="298"/>
      <c r="B5" s="299"/>
      <c r="C5" s="300"/>
      <c r="D5" s="301"/>
      <c r="E5" s="302"/>
      <c r="F5" s="303" t="s">
        <v>135</v>
      </c>
      <c r="G5" s="302"/>
      <c r="H5" s="303" t="s">
        <v>136</v>
      </c>
      <c r="I5" s="302"/>
      <c r="J5" s="303"/>
      <c r="K5" s="304"/>
      <c r="L5" s="292"/>
      <c r="M5" s="292"/>
      <c r="N5" s="292"/>
      <c r="O5" s="293"/>
      <c r="P5" s="294"/>
      <c r="Q5" s="294"/>
      <c r="R5" s="294"/>
      <c r="S5" s="294"/>
      <c r="T5" s="294"/>
      <c r="U5" s="296"/>
      <c r="V5" s="296"/>
    </row>
    <row r="6" spans="1:22" ht="18" hidden="1" customHeight="1">
      <c r="A6" s="305" t="s">
        <v>137</v>
      </c>
      <c r="B6" s="306">
        <f>D6+F6+H6+J6</f>
        <v>67</v>
      </c>
      <c r="C6" s="135">
        <f>E6+G6+I6+K6</f>
        <v>11732</v>
      </c>
      <c r="D6" s="306">
        <v>8</v>
      </c>
      <c r="E6" s="135">
        <v>935</v>
      </c>
      <c r="F6" s="306">
        <v>44</v>
      </c>
      <c r="G6" s="135">
        <v>9461</v>
      </c>
      <c r="H6" s="306">
        <v>10</v>
      </c>
      <c r="I6" s="135">
        <v>408</v>
      </c>
      <c r="J6" s="306">
        <v>5</v>
      </c>
      <c r="K6" s="177">
        <v>928</v>
      </c>
      <c r="M6" s="306"/>
      <c r="N6" s="120"/>
      <c r="O6" s="306"/>
      <c r="P6" s="208"/>
      <c r="Q6" s="307"/>
      <c r="R6" s="208"/>
      <c r="S6" s="307"/>
      <c r="T6" s="208"/>
      <c r="U6" s="307"/>
      <c r="V6" s="208"/>
    </row>
    <row r="7" spans="1:22" ht="18" hidden="1" customHeight="1">
      <c r="A7" s="305" t="s">
        <v>138</v>
      </c>
      <c r="B7" s="306">
        <f>D7+F7+H7</f>
        <v>72</v>
      </c>
      <c r="C7" s="135">
        <f>E7+G7+I7</f>
        <v>17600</v>
      </c>
      <c r="D7" s="306">
        <v>13</v>
      </c>
      <c r="E7" s="135">
        <v>2660</v>
      </c>
      <c r="F7" s="306">
        <v>49</v>
      </c>
      <c r="G7" s="135">
        <v>13309</v>
      </c>
      <c r="H7" s="306">
        <v>10</v>
      </c>
      <c r="I7" s="135">
        <v>1631</v>
      </c>
      <c r="J7" s="308" t="s">
        <v>139</v>
      </c>
      <c r="K7" s="309" t="s">
        <v>140</v>
      </c>
      <c r="M7" s="306"/>
      <c r="N7" s="120"/>
      <c r="O7" s="306"/>
      <c r="P7" s="208"/>
      <c r="Q7" s="307"/>
      <c r="R7" s="208"/>
      <c r="S7" s="307"/>
      <c r="T7" s="208"/>
      <c r="U7" s="307"/>
      <c r="V7" s="208"/>
    </row>
    <row r="8" spans="1:22" ht="18" hidden="1" customHeight="1">
      <c r="A8" s="305" t="s">
        <v>141</v>
      </c>
      <c r="B8" s="306">
        <f>D8+F8+H8</f>
        <v>54</v>
      </c>
      <c r="C8" s="135">
        <f>E8+G8+I8</f>
        <v>11608</v>
      </c>
      <c r="D8" s="306">
        <v>12</v>
      </c>
      <c r="E8" s="135">
        <v>2484</v>
      </c>
      <c r="F8" s="306">
        <v>30</v>
      </c>
      <c r="G8" s="135">
        <v>8234</v>
      </c>
      <c r="H8" s="306">
        <v>12</v>
      </c>
      <c r="I8" s="135">
        <v>890</v>
      </c>
      <c r="J8" s="308" t="s">
        <v>142</v>
      </c>
      <c r="K8" s="309" t="s">
        <v>140</v>
      </c>
      <c r="M8" s="306"/>
      <c r="N8" s="120"/>
      <c r="O8" s="306"/>
      <c r="P8" s="208"/>
      <c r="Q8" s="307"/>
      <c r="R8" s="208"/>
      <c r="S8" s="307"/>
      <c r="T8" s="208"/>
      <c r="U8" s="307"/>
      <c r="V8" s="208"/>
    </row>
    <row r="9" spans="1:22" s="297" customFormat="1" ht="16.5" customHeight="1">
      <c r="A9" s="305" t="s">
        <v>137</v>
      </c>
      <c r="B9" s="306">
        <v>67</v>
      </c>
      <c r="C9" s="135">
        <v>11732</v>
      </c>
      <c r="D9" s="306">
        <v>8</v>
      </c>
      <c r="E9" s="135">
        <v>935</v>
      </c>
      <c r="F9" s="306">
        <v>44</v>
      </c>
      <c r="G9" s="135">
        <v>9461</v>
      </c>
      <c r="H9" s="306">
        <v>10</v>
      </c>
      <c r="I9" s="135">
        <v>408</v>
      </c>
      <c r="J9" s="308">
        <v>5</v>
      </c>
      <c r="K9" s="309">
        <v>928</v>
      </c>
      <c r="L9" s="310"/>
      <c r="M9" s="311"/>
      <c r="N9" s="312"/>
      <c r="O9" s="311"/>
      <c r="P9" s="313"/>
      <c r="Q9" s="314"/>
      <c r="R9" s="313"/>
      <c r="S9" s="314"/>
      <c r="T9" s="313"/>
      <c r="U9" s="314"/>
      <c r="V9" s="313"/>
    </row>
    <row r="10" spans="1:22" s="297" customFormat="1" ht="16.5" hidden="1" customHeight="1">
      <c r="A10" s="305" t="s">
        <v>143</v>
      </c>
      <c r="B10" s="306">
        <v>86</v>
      </c>
      <c r="C10" s="135">
        <v>21796</v>
      </c>
      <c r="D10" s="306">
        <v>10</v>
      </c>
      <c r="E10" s="135">
        <v>1302</v>
      </c>
      <c r="F10" s="306">
        <v>68</v>
      </c>
      <c r="G10" s="135">
        <v>20074</v>
      </c>
      <c r="H10" s="306">
        <v>8</v>
      </c>
      <c r="I10" s="135">
        <v>420</v>
      </c>
      <c r="J10" s="308" t="s">
        <v>142</v>
      </c>
      <c r="K10" s="309" t="s">
        <v>140</v>
      </c>
      <c r="L10" s="310"/>
      <c r="M10" s="311"/>
      <c r="N10" s="312"/>
      <c r="O10" s="311"/>
      <c r="P10" s="313"/>
      <c r="Q10" s="314"/>
      <c r="R10" s="313"/>
      <c r="S10" s="314"/>
      <c r="T10" s="313"/>
      <c r="U10" s="314"/>
      <c r="V10" s="313"/>
    </row>
    <row r="11" spans="1:22" s="297" customFormat="1" ht="12.9" hidden="1" customHeight="1">
      <c r="A11" s="305" t="s">
        <v>144</v>
      </c>
      <c r="B11" s="306">
        <v>102</v>
      </c>
      <c r="C11" s="135">
        <v>14945</v>
      </c>
      <c r="D11" s="306">
        <v>17</v>
      </c>
      <c r="E11" s="135">
        <v>3683</v>
      </c>
      <c r="F11" s="306">
        <v>71</v>
      </c>
      <c r="G11" s="135">
        <v>10408</v>
      </c>
      <c r="H11" s="306">
        <v>13</v>
      </c>
      <c r="I11" s="135">
        <v>557</v>
      </c>
      <c r="J11" s="308">
        <v>1</v>
      </c>
      <c r="K11" s="309">
        <v>297</v>
      </c>
      <c r="L11" s="310"/>
      <c r="M11" s="311"/>
      <c r="N11" s="312"/>
      <c r="O11" s="311"/>
      <c r="P11" s="313"/>
      <c r="Q11" s="314"/>
      <c r="R11" s="313"/>
      <c r="S11" s="314"/>
      <c r="T11" s="313"/>
      <c r="U11" s="314"/>
      <c r="V11" s="313"/>
    </row>
    <row r="12" spans="1:22" s="297" customFormat="1" ht="12.9" hidden="1" customHeight="1">
      <c r="A12" s="305" t="s">
        <v>145</v>
      </c>
      <c r="B12" s="306">
        <v>117</v>
      </c>
      <c r="C12" s="135">
        <v>25050</v>
      </c>
      <c r="D12" s="306">
        <v>9</v>
      </c>
      <c r="E12" s="135">
        <v>3408</v>
      </c>
      <c r="F12" s="306">
        <v>92</v>
      </c>
      <c r="G12" s="135">
        <v>19726</v>
      </c>
      <c r="H12" s="306">
        <v>15</v>
      </c>
      <c r="I12" s="135">
        <v>1814</v>
      </c>
      <c r="J12" s="308">
        <v>1</v>
      </c>
      <c r="K12" s="309">
        <v>102</v>
      </c>
      <c r="L12" s="310"/>
      <c r="M12" s="311"/>
      <c r="N12" s="312"/>
      <c r="O12" s="311"/>
      <c r="P12" s="313"/>
      <c r="Q12" s="314"/>
      <c r="R12" s="313"/>
      <c r="S12" s="314"/>
      <c r="T12" s="313"/>
      <c r="U12" s="314"/>
      <c r="V12" s="313"/>
    </row>
    <row r="13" spans="1:22" s="297" customFormat="1" ht="12.9" hidden="1" customHeight="1">
      <c r="A13" s="305" t="s">
        <v>146</v>
      </c>
      <c r="B13" s="315">
        <v>86</v>
      </c>
      <c r="C13" s="135">
        <v>17546</v>
      </c>
      <c r="D13" s="315">
        <v>9</v>
      </c>
      <c r="E13" s="135">
        <v>1659</v>
      </c>
      <c r="F13" s="315">
        <v>67</v>
      </c>
      <c r="G13" s="135">
        <v>15247</v>
      </c>
      <c r="H13" s="316">
        <v>10</v>
      </c>
      <c r="I13" s="317">
        <v>640</v>
      </c>
      <c r="J13" s="308" t="s">
        <v>142</v>
      </c>
      <c r="K13" s="309" t="s">
        <v>140</v>
      </c>
      <c r="L13" s="310"/>
      <c r="M13" s="311"/>
      <c r="N13" s="312"/>
      <c r="O13" s="311"/>
      <c r="P13" s="313"/>
      <c r="Q13" s="314"/>
      <c r="R13" s="313"/>
      <c r="S13" s="314"/>
      <c r="T13" s="313"/>
      <c r="U13" s="314"/>
      <c r="V13" s="313"/>
    </row>
    <row r="14" spans="1:22" s="297" customFormat="1" ht="12.9" customHeight="1">
      <c r="A14" s="305" t="s">
        <v>147</v>
      </c>
      <c r="B14" s="315">
        <v>82</v>
      </c>
      <c r="C14" s="135">
        <v>7628</v>
      </c>
      <c r="D14" s="315">
        <v>8</v>
      </c>
      <c r="E14" s="135">
        <v>1015</v>
      </c>
      <c r="F14" s="315">
        <v>63</v>
      </c>
      <c r="G14" s="135">
        <v>5741</v>
      </c>
      <c r="H14" s="316">
        <v>11</v>
      </c>
      <c r="I14" s="317">
        <v>872</v>
      </c>
      <c r="J14" s="308" t="s">
        <v>142</v>
      </c>
      <c r="K14" s="309" t="s">
        <v>140</v>
      </c>
      <c r="L14" s="310"/>
      <c r="M14" s="311"/>
      <c r="N14" s="312"/>
      <c r="O14" s="311"/>
      <c r="P14" s="313"/>
      <c r="Q14" s="314"/>
      <c r="R14" s="313"/>
      <c r="S14" s="314"/>
      <c r="T14" s="313"/>
      <c r="U14" s="314"/>
      <c r="V14" s="313"/>
    </row>
    <row r="15" spans="1:22" s="297" customFormat="1" ht="12.9" customHeight="1">
      <c r="A15" s="305" t="s">
        <v>148</v>
      </c>
      <c r="B15" s="315">
        <v>68</v>
      </c>
      <c r="C15" s="135">
        <v>9002</v>
      </c>
      <c r="D15" s="315">
        <v>3</v>
      </c>
      <c r="E15" s="135">
        <v>156</v>
      </c>
      <c r="F15" s="315">
        <v>53</v>
      </c>
      <c r="G15" s="135">
        <v>7263</v>
      </c>
      <c r="H15" s="316">
        <v>12</v>
      </c>
      <c r="I15" s="317">
        <v>1583</v>
      </c>
      <c r="J15" s="308" t="s">
        <v>142</v>
      </c>
      <c r="K15" s="309" t="s">
        <v>140</v>
      </c>
      <c r="L15" s="310"/>
      <c r="M15" s="311"/>
      <c r="N15" s="312"/>
      <c r="O15" s="311"/>
      <c r="P15" s="313"/>
      <c r="Q15" s="314"/>
      <c r="R15" s="313"/>
      <c r="S15" s="314"/>
      <c r="T15" s="313"/>
      <c r="U15" s="318"/>
      <c r="V15" s="319"/>
    </row>
    <row r="16" spans="1:22" s="297" customFormat="1" ht="12.9" customHeight="1">
      <c r="A16" s="305" t="s">
        <v>149</v>
      </c>
      <c r="B16" s="315">
        <v>47</v>
      </c>
      <c r="C16" s="135">
        <v>9393</v>
      </c>
      <c r="D16" s="315">
        <v>2</v>
      </c>
      <c r="E16" s="135">
        <v>161</v>
      </c>
      <c r="F16" s="315">
        <v>39</v>
      </c>
      <c r="G16" s="135">
        <v>8542</v>
      </c>
      <c r="H16" s="316">
        <v>6</v>
      </c>
      <c r="I16" s="317">
        <v>690</v>
      </c>
      <c r="J16" s="308" t="s">
        <v>142</v>
      </c>
      <c r="K16" s="309" t="s">
        <v>140</v>
      </c>
      <c r="L16" s="310"/>
      <c r="M16" s="311"/>
      <c r="N16" s="312"/>
      <c r="O16" s="311"/>
      <c r="P16" s="313"/>
      <c r="Q16" s="314"/>
      <c r="R16" s="313"/>
      <c r="S16" s="314"/>
      <c r="T16" s="313"/>
      <c r="U16" s="318"/>
      <c r="V16" s="319"/>
    </row>
    <row r="17" spans="1:22" s="297" customFormat="1" ht="12.9" customHeight="1">
      <c r="A17" s="305" t="s">
        <v>150</v>
      </c>
      <c r="B17" s="315">
        <v>28</v>
      </c>
      <c r="C17" s="135">
        <v>6940</v>
      </c>
      <c r="D17" s="315">
        <v>3</v>
      </c>
      <c r="E17" s="135">
        <v>256</v>
      </c>
      <c r="F17" s="315">
        <v>20</v>
      </c>
      <c r="G17" s="135">
        <v>5355</v>
      </c>
      <c r="H17" s="316">
        <v>5</v>
      </c>
      <c r="I17" s="317">
        <v>1329</v>
      </c>
      <c r="J17" s="308" t="s">
        <v>142</v>
      </c>
      <c r="K17" s="309" t="s">
        <v>140</v>
      </c>
      <c r="L17" s="310"/>
      <c r="M17" s="311"/>
      <c r="N17" s="312"/>
      <c r="O17" s="311"/>
      <c r="P17" s="313"/>
      <c r="Q17" s="314"/>
      <c r="R17" s="313"/>
      <c r="S17" s="314"/>
      <c r="T17" s="313"/>
      <c r="U17" s="318"/>
      <c r="V17" s="319"/>
    </row>
    <row r="18" spans="1:22" s="320" customFormat="1" ht="12.9" customHeight="1">
      <c r="A18" s="305" t="s">
        <v>151</v>
      </c>
      <c r="B18" s="315">
        <v>38</v>
      </c>
      <c r="C18" s="135">
        <v>3635</v>
      </c>
      <c r="D18" s="315">
        <v>2</v>
      </c>
      <c r="E18" s="135">
        <v>200</v>
      </c>
      <c r="F18" s="315">
        <v>30</v>
      </c>
      <c r="G18" s="135">
        <v>2962</v>
      </c>
      <c r="H18" s="316">
        <v>6</v>
      </c>
      <c r="I18" s="317">
        <v>473</v>
      </c>
      <c r="J18" s="308" t="s">
        <v>142</v>
      </c>
      <c r="K18" s="309" t="s">
        <v>140</v>
      </c>
      <c r="M18" s="321"/>
      <c r="N18" s="322"/>
      <c r="O18" s="321"/>
      <c r="P18" s="322"/>
      <c r="Q18" s="321"/>
      <c r="R18" s="322"/>
      <c r="S18" s="321"/>
      <c r="T18" s="322"/>
      <c r="U18" s="321"/>
      <c r="V18" s="322"/>
    </row>
    <row r="19" spans="1:22" s="320" customFormat="1" ht="12.9" customHeight="1">
      <c r="A19" s="305" t="s">
        <v>152</v>
      </c>
      <c r="B19" s="315">
        <v>55</v>
      </c>
      <c r="C19" s="135">
        <v>6087</v>
      </c>
      <c r="D19" s="315">
        <v>3</v>
      </c>
      <c r="E19" s="135">
        <v>373</v>
      </c>
      <c r="F19" s="315">
        <v>44</v>
      </c>
      <c r="G19" s="135">
        <v>5268</v>
      </c>
      <c r="H19" s="316">
        <v>8</v>
      </c>
      <c r="I19" s="317">
        <v>446</v>
      </c>
      <c r="J19" s="308" t="s">
        <v>142</v>
      </c>
      <c r="K19" s="309" t="s">
        <v>140</v>
      </c>
      <c r="M19" s="321"/>
      <c r="N19" s="322"/>
      <c r="O19" s="321"/>
      <c r="P19" s="322"/>
      <c r="Q19" s="321"/>
      <c r="R19" s="322"/>
      <c r="S19" s="321"/>
      <c r="T19" s="322"/>
      <c r="U19" s="321"/>
      <c r="V19" s="322"/>
    </row>
    <row r="20" spans="1:22" s="320" customFormat="1" ht="12.9" customHeight="1">
      <c r="A20" s="305" t="s">
        <v>153</v>
      </c>
      <c r="B20" s="315">
        <v>51</v>
      </c>
      <c r="C20" s="135">
        <v>6797</v>
      </c>
      <c r="D20" s="315">
        <v>2</v>
      </c>
      <c r="E20" s="135">
        <v>157</v>
      </c>
      <c r="F20" s="315">
        <v>42</v>
      </c>
      <c r="G20" s="135">
        <v>5792</v>
      </c>
      <c r="H20" s="316">
        <v>7</v>
      </c>
      <c r="I20" s="317">
        <v>848</v>
      </c>
      <c r="J20" s="308" t="s">
        <v>142</v>
      </c>
      <c r="K20" s="309" t="s">
        <v>140</v>
      </c>
      <c r="M20" s="321"/>
      <c r="N20" s="322"/>
      <c r="O20" s="321"/>
      <c r="P20" s="322"/>
      <c r="Q20" s="321"/>
      <c r="R20" s="322"/>
      <c r="S20" s="321"/>
      <c r="T20" s="322"/>
      <c r="U20" s="321"/>
      <c r="V20" s="322"/>
    </row>
    <row r="21" spans="1:22" s="320" customFormat="1" ht="12.9" customHeight="1">
      <c r="A21" s="305" t="s">
        <v>154</v>
      </c>
      <c r="B21" s="315">
        <v>73</v>
      </c>
      <c r="C21" s="135">
        <v>6810</v>
      </c>
      <c r="D21" s="315">
        <v>23</v>
      </c>
      <c r="E21" s="135">
        <v>693</v>
      </c>
      <c r="F21" s="315">
        <v>43</v>
      </c>
      <c r="G21" s="135">
        <v>5421</v>
      </c>
      <c r="H21" s="316">
        <v>7</v>
      </c>
      <c r="I21" s="317">
        <v>696</v>
      </c>
      <c r="J21" s="308" t="s">
        <v>142</v>
      </c>
      <c r="K21" s="309" t="s">
        <v>140</v>
      </c>
      <c r="M21" s="321"/>
      <c r="N21" s="322"/>
      <c r="O21" s="321"/>
      <c r="P21" s="322"/>
      <c r="Q21" s="321"/>
      <c r="R21" s="322"/>
      <c r="S21" s="321"/>
      <c r="T21" s="322"/>
      <c r="U21" s="321"/>
      <c r="V21" s="322"/>
    </row>
    <row r="22" spans="1:22" s="320" customFormat="1" ht="12.9" customHeight="1">
      <c r="A22" s="305" t="s">
        <v>155</v>
      </c>
      <c r="B22" s="315">
        <v>68</v>
      </c>
      <c r="C22" s="135">
        <v>10164</v>
      </c>
      <c r="D22" s="315">
        <v>20</v>
      </c>
      <c r="E22" s="135">
        <v>2969</v>
      </c>
      <c r="F22" s="315">
        <v>35</v>
      </c>
      <c r="G22" s="135">
        <v>6373</v>
      </c>
      <c r="H22" s="316">
        <v>13</v>
      </c>
      <c r="I22" s="317">
        <v>822</v>
      </c>
      <c r="J22" s="308" t="s">
        <v>142</v>
      </c>
      <c r="K22" s="309" t="s">
        <v>140</v>
      </c>
      <c r="M22" s="321"/>
      <c r="N22" s="322"/>
      <c r="O22" s="321"/>
      <c r="P22" s="322"/>
      <c r="Q22" s="321"/>
      <c r="R22" s="322"/>
      <c r="S22" s="321"/>
      <c r="T22" s="322"/>
      <c r="U22" s="321"/>
      <c r="V22" s="322"/>
    </row>
    <row r="23" spans="1:22" s="320" customFormat="1" ht="12.9" customHeight="1">
      <c r="A23" s="305" t="s">
        <v>156</v>
      </c>
      <c r="B23" s="315">
        <v>34</v>
      </c>
      <c r="C23" s="135">
        <v>3661</v>
      </c>
      <c r="D23" s="315">
        <v>1</v>
      </c>
      <c r="E23" s="135">
        <v>341</v>
      </c>
      <c r="F23" s="315">
        <v>29</v>
      </c>
      <c r="G23" s="135">
        <v>2653</v>
      </c>
      <c r="H23" s="316">
        <v>4</v>
      </c>
      <c r="I23" s="317">
        <v>667</v>
      </c>
      <c r="J23" s="308" t="s">
        <v>142</v>
      </c>
      <c r="K23" s="309" t="s">
        <v>140</v>
      </c>
      <c r="M23" s="321"/>
      <c r="N23" s="322"/>
      <c r="O23" s="321"/>
      <c r="P23" s="322"/>
      <c r="Q23" s="321"/>
      <c r="R23" s="322"/>
      <c r="S23" s="321"/>
      <c r="T23" s="322"/>
      <c r="U23" s="321"/>
      <c r="V23" s="322"/>
    </row>
    <row r="24" spans="1:22" s="320" customFormat="1" ht="12.9" customHeight="1">
      <c r="A24" s="305" t="s">
        <v>157</v>
      </c>
      <c r="B24" s="315">
        <v>37</v>
      </c>
      <c r="C24" s="135">
        <v>5097</v>
      </c>
      <c r="D24" s="315">
        <v>5</v>
      </c>
      <c r="E24" s="135">
        <v>137</v>
      </c>
      <c r="F24" s="315">
        <v>28</v>
      </c>
      <c r="G24" s="135">
        <v>4751</v>
      </c>
      <c r="H24" s="316">
        <v>4</v>
      </c>
      <c r="I24" s="317">
        <v>209</v>
      </c>
      <c r="J24" s="308" t="s">
        <v>142</v>
      </c>
      <c r="K24" s="309" t="s">
        <v>140</v>
      </c>
      <c r="M24" s="321"/>
      <c r="N24" s="322"/>
      <c r="O24" s="321"/>
      <c r="P24" s="322"/>
      <c r="Q24" s="321"/>
      <c r="R24" s="322"/>
      <c r="S24" s="321"/>
      <c r="T24" s="322"/>
      <c r="U24" s="321"/>
      <c r="V24" s="322"/>
    </row>
    <row r="25" spans="1:22" s="320" customFormat="1" ht="12.9" customHeight="1">
      <c r="A25" s="305" t="s">
        <v>158</v>
      </c>
      <c r="B25" s="315">
        <v>40</v>
      </c>
      <c r="C25" s="135">
        <v>5443</v>
      </c>
      <c r="D25" s="315">
        <v>9</v>
      </c>
      <c r="E25" s="135">
        <v>2041</v>
      </c>
      <c r="F25" s="315">
        <v>28</v>
      </c>
      <c r="G25" s="135">
        <v>3222</v>
      </c>
      <c r="H25" s="316">
        <v>3</v>
      </c>
      <c r="I25" s="317">
        <v>180</v>
      </c>
      <c r="J25" s="308" t="s">
        <v>142</v>
      </c>
      <c r="K25" s="309" t="s">
        <v>140</v>
      </c>
      <c r="M25" s="321"/>
      <c r="N25" s="322"/>
      <c r="O25" s="321"/>
      <c r="P25" s="322"/>
      <c r="Q25" s="321"/>
      <c r="R25" s="322"/>
      <c r="S25" s="321"/>
      <c r="T25" s="322"/>
      <c r="U25" s="321"/>
      <c r="V25" s="322"/>
    </row>
    <row r="26" spans="1:22" s="320" customFormat="1" ht="12.9" customHeight="1">
      <c r="A26" s="305" t="s">
        <v>159</v>
      </c>
      <c r="B26" s="315">
        <v>27</v>
      </c>
      <c r="C26" s="135">
        <v>2476</v>
      </c>
      <c r="D26" s="315">
        <v>2</v>
      </c>
      <c r="E26" s="135">
        <v>300</v>
      </c>
      <c r="F26" s="315">
        <v>20</v>
      </c>
      <c r="G26" s="135">
        <v>1390</v>
      </c>
      <c r="H26" s="316">
        <v>5</v>
      </c>
      <c r="I26" s="317">
        <v>786</v>
      </c>
      <c r="J26" s="308" t="s">
        <v>142</v>
      </c>
      <c r="K26" s="309" t="s">
        <v>140</v>
      </c>
      <c r="M26" s="321"/>
      <c r="N26" s="322"/>
      <c r="O26" s="321"/>
      <c r="P26" s="322"/>
      <c r="Q26" s="321"/>
      <c r="R26" s="322"/>
      <c r="S26" s="321"/>
      <c r="T26" s="322"/>
      <c r="U26" s="321"/>
      <c r="V26" s="322"/>
    </row>
    <row r="27" spans="1:22" s="320" customFormat="1" ht="12.9" customHeight="1">
      <c r="A27" s="305" t="s">
        <v>46</v>
      </c>
      <c r="B27" s="315">
        <v>29</v>
      </c>
      <c r="C27" s="135">
        <v>2775</v>
      </c>
      <c r="D27" s="315">
        <v>5</v>
      </c>
      <c r="E27" s="135">
        <v>434</v>
      </c>
      <c r="F27" s="315">
        <v>21</v>
      </c>
      <c r="G27" s="135">
        <v>2079</v>
      </c>
      <c r="H27" s="316">
        <v>3</v>
      </c>
      <c r="I27" s="317">
        <v>262</v>
      </c>
      <c r="J27" s="308" t="s">
        <v>142</v>
      </c>
      <c r="K27" s="309" t="s">
        <v>140</v>
      </c>
      <c r="M27" s="321"/>
      <c r="N27" s="322"/>
      <c r="O27" s="321"/>
      <c r="P27" s="322"/>
      <c r="Q27" s="321"/>
      <c r="R27" s="322"/>
      <c r="S27" s="321"/>
      <c r="T27" s="322"/>
      <c r="U27" s="321"/>
      <c r="V27" s="322"/>
    </row>
    <row r="28" spans="1:22" s="320" customFormat="1" ht="12.9" customHeight="1">
      <c r="A28" s="305" t="s">
        <v>160</v>
      </c>
      <c r="B28" s="315">
        <v>30</v>
      </c>
      <c r="C28" s="135">
        <v>3155</v>
      </c>
      <c r="D28" s="315">
        <v>3</v>
      </c>
      <c r="E28" s="135">
        <v>445</v>
      </c>
      <c r="F28" s="315">
        <v>22</v>
      </c>
      <c r="G28" s="135">
        <v>2599</v>
      </c>
      <c r="H28" s="316">
        <v>5</v>
      </c>
      <c r="I28" s="317">
        <v>111</v>
      </c>
      <c r="J28" s="308" t="s">
        <v>142</v>
      </c>
      <c r="K28" s="309" t="s">
        <v>140</v>
      </c>
      <c r="M28" s="321"/>
      <c r="N28" s="322"/>
      <c r="O28" s="321"/>
      <c r="P28" s="322"/>
      <c r="Q28" s="321"/>
      <c r="R28" s="322"/>
      <c r="S28" s="321"/>
      <c r="T28" s="322"/>
      <c r="U28" s="321"/>
      <c r="V28" s="322"/>
    </row>
    <row r="29" spans="1:22" s="320" customFormat="1" ht="12.9" customHeight="1">
      <c r="A29" s="305" t="s">
        <v>161</v>
      </c>
      <c r="B29" s="315">
        <f>SUM(D29,F29,H29)</f>
        <v>36</v>
      </c>
      <c r="C29" s="135">
        <f>SUM(E29,G29,I29)</f>
        <v>2774</v>
      </c>
      <c r="D29" s="315">
        <v>3</v>
      </c>
      <c r="E29" s="135">
        <v>302</v>
      </c>
      <c r="F29" s="315">
        <v>30</v>
      </c>
      <c r="G29" s="135">
        <v>2288</v>
      </c>
      <c r="H29" s="316">
        <v>3</v>
      </c>
      <c r="I29" s="317">
        <v>184</v>
      </c>
      <c r="J29" s="308" t="s">
        <v>142</v>
      </c>
      <c r="K29" s="309" t="s">
        <v>140</v>
      </c>
      <c r="M29" s="321"/>
      <c r="N29" s="322"/>
      <c r="O29" s="321"/>
      <c r="P29" s="322"/>
      <c r="Q29" s="321"/>
      <c r="R29" s="322"/>
      <c r="S29" s="321"/>
      <c r="T29" s="322"/>
      <c r="U29" s="321"/>
      <c r="V29" s="322"/>
    </row>
    <row r="30" spans="1:22" s="323" customFormat="1" ht="12.9" customHeight="1">
      <c r="A30" s="305" t="s">
        <v>162</v>
      </c>
      <c r="B30" s="315">
        <f>SUM(D30,F30,H30,J30)</f>
        <v>38</v>
      </c>
      <c r="C30" s="135">
        <f>SUM(E30,G30,I30,K30)</f>
        <v>5062</v>
      </c>
      <c r="D30" s="315">
        <v>1</v>
      </c>
      <c r="E30" s="135">
        <v>76</v>
      </c>
      <c r="F30" s="315">
        <v>35</v>
      </c>
      <c r="G30" s="135">
        <v>4964</v>
      </c>
      <c r="H30" s="316">
        <v>2</v>
      </c>
      <c r="I30" s="317">
        <v>22</v>
      </c>
      <c r="J30" s="308" t="s">
        <v>142</v>
      </c>
      <c r="K30" s="309" t="s">
        <v>140</v>
      </c>
      <c r="M30" s="324"/>
      <c r="N30" s="325"/>
      <c r="O30" s="324"/>
      <c r="P30" s="325"/>
      <c r="Q30" s="324"/>
      <c r="R30" s="325"/>
      <c r="S30" s="324"/>
      <c r="T30" s="325"/>
      <c r="U30" s="324"/>
      <c r="V30" s="325"/>
    </row>
    <row r="31" spans="1:22" s="323" customFormat="1" ht="12.9" customHeight="1">
      <c r="A31" s="305" t="s">
        <v>163</v>
      </c>
      <c r="B31" s="315">
        <f>SUM(D31,F31,H31,J31)</f>
        <v>37</v>
      </c>
      <c r="C31" s="135">
        <f>SUM(E31,G31,I31,K31)</f>
        <v>6382</v>
      </c>
      <c r="D31" s="315">
        <v>5</v>
      </c>
      <c r="E31" s="135">
        <v>717</v>
      </c>
      <c r="F31" s="315">
        <v>28</v>
      </c>
      <c r="G31" s="135">
        <v>5169</v>
      </c>
      <c r="H31" s="316">
        <v>4</v>
      </c>
      <c r="I31" s="317">
        <v>496</v>
      </c>
      <c r="J31" s="308" t="s">
        <v>142</v>
      </c>
      <c r="K31" s="309" t="s">
        <v>140</v>
      </c>
      <c r="M31" s="324"/>
      <c r="N31" s="325"/>
      <c r="O31" s="324"/>
      <c r="P31" s="325"/>
      <c r="Q31" s="324"/>
      <c r="R31" s="325"/>
      <c r="S31" s="324"/>
      <c r="T31" s="325"/>
      <c r="U31" s="324"/>
      <c r="V31" s="325"/>
    </row>
    <row r="32" spans="1:22" s="320" customFormat="1" ht="12.9" customHeight="1">
      <c r="A32" s="305" t="s">
        <v>164</v>
      </c>
      <c r="B32" s="315">
        <f t="shared" ref="B32:B33" si="0">SUM(D32,F32,H32,J32)</f>
        <v>48</v>
      </c>
      <c r="C32" s="135">
        <f t="shared" ref="C32:C33" si="1">SUM(E32,G32,I32,K32)</f>
        <v>8815</v>
      </c>
      <c r="D32" s="315">
        <v>4</v>
      </c>
      <c r="E32" s="135">
        <v>193</v>
      </c>
      <c r="F32" s="315">
        <v>43</v>
      </c>
      <c r="G32" s="135">
        <v>8518</v>
      </c>
      <c r="H32" s="316">
        <v>1</v>
      </c>
      <c r="I32" s="317">
        <v>104</v>
      </c>
      <c r="J32" s="308" t="s">
        <v>142</v>
      </c>
      <c r="K32" s="309" t="s">
        <v>140</v>
      </c>
      <c r="M32" s="321"/>
      <c r="N32" s="322"/>
      <c r="O32" s="321"/>
      <c r="P32" s="322"/>
      <c r="Q32" s="321"/>
      <c r="R32" s="322"/>
      <c r="S32" s="321"/>
      <c r="T32" s="322"/>
      <c r="U32" s="321"/>
      <c r="V32" s="322"/>
    </row>
    <row r="33" spans="1:22" s="320" customFormat="1" ht="12.9" customHeight="1">
      <c r="A33" s="305" t="s">
        <v>165</v>
      </c>
      <c r="B33" s="315">
        <f t="shared" si="0"/>
        <v>53</v>
      </c>
      <c r="C33" s="135">
        <f t="shared" si="1"/>
        <v>6960</v>
      </c>
      <c r="D33" s="315">
        <v>7</v>
      </c>
      <c r="E33" s="135">
        <v>741</v>
      </c>
      <c r="F33" s="315">
        <v>43</v>
      </c>
      <c r="G33" s="135">
        <v>5910</v>
      </c>
      <c r="H33" s="316">
        <v>3</v>
      </c>
      <c r="I33" s="317">
        <v>309</v>
      </c>
      <c r="J33" s="326" t="s">
        <v>142</v>
      </c>
      <c r="K33" s="309" t="s">
        <v>140</v>
      </c>
      <c r="M33" s="321"/>
      <c r="N33" s="322"/>
      <c r="O33" s="321"/>
      <c r="P33" s="322"/>
      <c r="Q33" s="321"/>
      <c r="R33" s="322"/>
      <c r="S33" s="321"/>
      <c r="T33" s="322"/>
      <c r="U33" s="321"/>
      <c r="V33" s="322"/>
    </row>
    <row r="34" spans="1:22" s="320" customFormat="1" ht="12.9" customHeight="1" thickBot="1">
      <c r="A34" s="327" t="s">
        <v>257</v>
      </c>
      <c r="B34" s="328">
        <f t="shared" ref="B34:C34" si="2">SUM(D34,F34,H34,J34)</f>
        <v>60</v>
      </c>
      <c r="C34" s="329">
        <f t="shared" si="2"/>
        <v>7404</v>
      </c>
      <c r="D34" s="328">
        <v>6</v>
      </c>
      <c r="E34" s="329">
        <v>1088</v>
      </c>
      <c r="F34" s="328">
        <v>51</v>
      </c>
      <c r="G34" s="329">
        <v>6202</v>
      </c>
      <c r="H34" s="330">
        <v>3</v>
      </c>
      <c r="I34" s="331">
        <v>114</v>
      </c>
      <c r="J34" s="332" t="s">
        <v>142</v>
      </c>
      <c r="K34" s="333" t="s">
        <v>140</v>
      </c>
      <c r="M34" s="321"/>
      <c r="N34" s="322"/>
      <c r="O34" s="321"/>
      <c r="P34" s="322"/>
      <c r="Q34" s="321"/>
      <c r="R34" s="322"/>
      <c r="S34" s="321"/>
      <c r="T34" s="322"/>
      <c r="U34" s="321"/>
      <c r="V34" s="322"/>
    </row>
    <row r="35" spans="1:22" ht="12.9" customHeight="1">
      <c r="B35" s="306"/>
      <c r="C35" s="120"/>
      <c r="D35" s="306"/>
      <c r="E35" s="120"/>
      <c r="F35" s="306"/>
      <c r="G35" s="120"/>
      <c r="H35" s="306"/>
      <c r="I35" s="120"/>
      <c r="J35" s="308"/>
      <c r="K35" s="334" t="s">
        <v>166</v>
      </c>
      <c r="M35" s="306"/>
      <c r="N35" s="120"/>
      <c r="O35" s="306"/>
      <c r="P35" s="208"/>
      <c r="Q35" s="307"/>
      <c r="R35" s="208"/>
      <c r="S35" s="307"/>
      <c r="T35" s="208"/>
      <c r="U35" s="307"/>
      <c r="V35" s="208"/>
    </row>
    <row r="36" spans="1:22" ht="12.9" customHeight="1">
      <c r="A36" s="335" t="s">
        <v>167</v>
      </c>
      <c r="B36" s="335"/>
    </row>
    <row r="37" spans="1:22" ht="12.9" customHeight="1">
      <c r="A37" s="335" t="s">
        <v>168</v>
      </c>
      <c r="B37" s="335"/>
    </row>
    <row r="38" spans="1:22" ht="12.9" customHeight="1">
      <c r="A38" s="335" t="s">
        <v>169</v>
      </c>
      <c r="B38" s="335"/>
    </row>
    <row r="39" spans="1:22" ht="12.9" customHeight="1">
      <c r="A39" s="335" t="s">
        <v>170</v>
      </c>
      <c r="B39" s="335"/>
    </row>
    <row r="40" spans="1:22" ht="12.9" customHeight="1">
      <c r="A40" s="335" t="s">
        <v>258</v>
      </c>
      <c r="B40" s="335"/>
    </row>
    <row r="41" spans="1:22" ht="15" customHeight="1">
      <c r="A41" s="336"/>
    </row>
    <row r="42" spans="1:22" ht="15" customHeight="1">
      <c r="A42" s="281" t="s">
        <v>171</v>
      </c>
      <c r="B42" s="337"/>
    </row>
    <row r="43" spans="1:22" s="297" customFormat="1" ht="9.9" customHeight="1" thickBot="1">
      <c r="A43" s="323"/>
      <c r="B43" s="323"/>
      <c r="C43" s="310"/>
      <c r="D43" s="310"/>
      <c r="E43" s="310"/>
      <c r="F43" s="310"/>
      <c r="G43" s="310"/>
      <c r="H43" s="310"/>
      <c r="I43" s="310"/>
      <c r="J43" s="310"/>
      <c r="K43" s="310"/>
      <c r="L43" s="310"/>
      <c r="M43" s="310"/>
      <c r="N43" s="310"/>
      <c r="O43" s="283" t="s">
        <v>35</v>
      </c>
    </row>
    <row r="44" spans="1:22" s="297" customFormat="1" ht="12.9" customHeight="1">
      <c r="A44" s="285" t="s">
        <v>129</v>
      </c>
      <c r="B44" s="286" t="s">
        <v>130</v>
      </c>
      <c r="C44" s="287"/>
      <c r="D44" s="290" t="s">
        <v>172</v>
      </c>
      <c r="E44" s="289"/>
      <c r="F44" s="290" t="s">
        <v>173</v>
      </c>
      <c r="G44" s="289"/>
      <c r="H44" s="290" t="s">
        <v>174</v>
      </c>
      <c r="I44" s="289"/>
      <c r="J44" s="290" t="s">
        <v>132</v>
      </c>
      <c r="K44" s="289"/>
      <c r="L44" s="290" t="s">
        <v>175</v>
      </c>
      <c r="M44" s="289"/>
      <c r="N44" s="290" t="s">
        <v>134</v>
      </c>
      <c r="O44" s="291"/>
    </row>
    <row r="45" spans="1:22" s="297" customFormat="1" ht="12.9" customHeight="1">
      <c r="A45" s="298"/>
      <c r="B45" s="299"/>
      <c r="C45" s="300"/>
      <c r="D45" s="303" t="s">
        <v>176</v>
      </c>
      <c r="E45" s="302"/>
      <c r="F45" s="303"/>
      <c r="G45" s="302"/>
      <c r="H45" s="303" t="s">
        <v>177</v>
      </c>
      <c r="I45" s="302"/>
      <c r="J45" s="303" t="s">
        <v>178</v>
      </c>
      <c r="K45" s="302"/>
      <c r="L45" s="303"/>
      <c r="M45" s="302"/>
      <c r="N45" s="303"/>
      <c r="O45" s="304"/>
    </row>
    <row r="46" spans="1:22" ht="12.9" hidden="1" customHeight="1">
      <c r="A46" s="305" t="s">
        <v>137</v>
      </c>
      <c r="B46" s="338">
        <f t="shared" ref="B46:B54" si="3">D46+F46+H46+J46+L46+N46</f>
        <v>71</v>
      </c>
      <c r="C46" s="339">
        <v>34717</v>
      </c>
      <c r="D46" s="340">
        <v>0</v>
      </c>
      <c r="E46" s="341">
        <v>0</v>
      </c>
      <c r="F46" s="342">
        <v>14</v>
      </c>
      <c r="G46" s="339">
        <v>10963</v>
      </c>
      <c r="H46" s="342">
        <v>3</v>
      </c>
      <c r="I46" s="339">
        <v>408</v>
      </c>
      <c r="J46" s="342">
        <v>54</v>
      </c>
      <c r="K46" s="339">
        <v>21701</v>
      </c>
      <c r="L46" s="340">
        <v>0</v>
      </c>
      <c r="M46" s="343">
        <v>0</v>
      </c>
      <c r="N46" s="340">
        <v>0</v>
      </c>
      <c r="O46" s="344">
        <v>0</v>
      </c>
    </row>
    <row r="47" spans="1:22" ht="12.9" hidden="1" customHeight="1">
      <c r="A47" s="305" t="s">
        <v>179</v>
      </c>
      <c r="B47" s="338">
        <f t="shared" si="3"/>
        <v>77</v>
      </c>
      <c r="C47" s="339">
        <v>48194</v>
      </c>
      <c r="D47" s="342">
        <v>7</v>
      </c>
      <c r="E47" s="339">
        <v>7406</v>
      </c>
      <c r="F47" s="342">
        <v>12</v>
      </c>
      <c r="G47" s="339">
        <v>11195</v>
      </c>
      <c r="H47" s="342">
        <v>1</v>
      </c>
      <c r="I47" s="339">
        <v>1631</v>
      </c>
      <c r="J47" s="342">
        <v>52</v>
      </c>
      <c r="K47" s="339">
        <v>23658</v>
      </c>
      <c r="L47" s="340">
        <v>5</v>
      </c>
      <c r="M47" s="339">
        <v>4856</v>
      </c>
      <c r="N47" s="340">
        <v>0</v>
      </c>
      <c r="O47" s="344">
        <v>0</v>
      </c>
    </row>
    <row r="48" spans="1:22" ht="12.9" hidden="1" customHeight="1">
      <c r="A48" s="305" t="s">
        <v>180</v>
      </c>
      <c r="B48" s="338">
        <f t="shared" si="3"/>
        <v>64</v>
      </c>
      <c r="C48" s="339">
        <v>39334</v>
      </c>
      <c r="D48" s="342">
        <v>6</v>
      </c>
      <c r="E48" s="339">
        <v>4623</v>
      </c>
      <c r="F48" s="342">
        <v>11</v>
      </c>
      <c r="G48" s="339">
        <v>9579</v>
      </c>
      <c r="H48" s="340">
        <v>0</v>
      </c>
      <c r="I48" s="339">
        <v>890</v>
      </c>
      <c r="J48" s="340">
        <v>40</v>
      </c>
      <c r="K48" s="341">
        <v>20119</v>
      </c>
      <c r="L48" s="340">
        <v>7</v>
      </c>
      <c r="M48" s="339">
        <v>5013</v>
      </c>
      <c r="N48" s="340">
        <v>0</v>
      </c>
      <c r="O48" s="344">
        <v>0</v>
      </c>
    </row>
    <row r="49" spans="1:15" ht="12.9" hidden="1" customHeight="1">
      <c r="A49" s="345" t="s">
        <v>181</v>
      </c>
      <c r="B49" s="338">
        <f t="shared" si="3"/>
        <v>68</v>
      </c>
      <c r="C49" s="346">
        <f>E49+G49+I49+K49+M49</f>
        <v>40587</v>
      </c>
      <c r="D49" s="338">
        <v>8</v>
      </c>
      <c r="E49" s="346">
        <v>4922</v>
      </c>
      <c r="F49" s="338">
        <v>10</v>
      </c>
      <c r="G49" s="346">
        <v>9087</v>
      </c>
      <c r="H49" s="316">
        <v>0</v>
      </c>
      <c r="I49" s="347">
        <v>0</v>
      </c>
      <c r="J49" s="338">
        <v>46</v>
      </c>
      <c r="K49" s="346">
        <v>24327</v>
      </c>
      <c r="L49" s="316">
        <v>4</v>
      </c>
      <c r="M49" s="346">
        <v>2251</v>
      </c>
      <c r="N49" s="316">
        <v>0</v>
      </c>
      <c r="O49" s="344">
        <v>0</v>
      </c>
    </row>
    <row r="50" spans="1:15" ht="12.9" hidden="1" customHeight="1">
      <c r="A50" s="305" t="s">
        <v>144</v>
      </c>
      <c r="B50" s="338">
        <f t="shared" si="3"/>
        <v>58</v>
      </c>
      <c r="C50" s="339">
        <f>E50+G50+K50+M50+O50</f>
        <v>29848</v>
      </c>
      <c r="D50" s="342">
        <v>5</v>
      </c>
      <c r="E50" s="339">
        <v>1810</v>
      </c>
      <c r="F50" s="342">
        <v>5</v>
      </c>
      <c r="G50" s="339">
        <v>4920</v>
      </c>
      <c r="H50" s="340">
        <v>0</v>
      </c>
      <c r="I50" s="341">
        <v>0</v>
      </c>
      <c r="J50" s="342">
        <v>45</v>
      </c>
      <c r="K50" s="339">
        <v>20138</v>
      </c>
      <c r="L50" s="316">
        <v>1</v>
      </c>
      <c r="M50" s="339">
        <v>1120</v>
      </c>
      <c r="N50" s="316">
        <v>2</v>
      </c>
      <c r="O50" s="348">
        <v>1860</v>
      </c>
    </row>
    <row r="51" spans="1:15" ht="12.9" hidden="1" customHeight="1">
      <c r="A51" s="305" t="s">
        <v>182</v>
      </c>
      <c r="B51" s="338">
        <f t="shared" si="3"/>
        <v>59</v>
      </c>
      <c r="C51" s="339">
        <v>31331</v>
      </c>
      <c r="D51" s="342">
        <v>3</v>
      </c>
      <c r="E51" s="339">
        <v>2858</v>
      </c>
      <c r="F51" s="342">
        <v>5</v>
      </c>
      <c r="G51" s="339">
        <v>5776</v>
      </c>
      <c r="H51" s="342">
        <v>2</v>
      </c>
      <c r="I51" s="339">
        <v>871</v>
      </c>
      <c r="J51" s="342">
        <v>46</v>
      </c>
      <c r="K51" s="339">
        <v>17862</v>
      </c>
      <c r="L51" s="316">
        <v>1</v>
      </c>
      <c r="M51" s="339">
        <v>994</v>
      </c>
      <c r="N51" s="316">
        <v>2</v>
      </c>
      <c r="O51" s="348">
        <v>2970</v>
      </c>
    </row>
    <row r="52" spans="1:15" ht="12.9" hidden="1" customHeight="1">
      <c r="A52" s="305" t="s">
        <v>183</v>
      </c>
      <c r="B52" s="338">
        <f t="shared" si="3"/>
        <v>57</v>
      </c>
      <c r="C52" s="339">
        <v>28036</v>
      </c>
      <c r="D52" s="342">
        <v>7</v>
      </c>
      <c r="E52" s="339">
        <v>4523</v>
      </c>
      <c r="F52" s="342">
        <v>8</v>
      </c>
      <c r="G52" s="339">
        <v>5283</v>
      </c>
      <c r="H52" s="340">
        <v>0</v>
      </c>
      <c r="I52" s="339">
        <v>0</v>
      </c>
      <c r="J52" s="342">
        <v>39</v>
      </c>
      <c r="K52" s="339">
        <v>16003</v>
      </c>
      <c r="L52" s="316">
        <v>1</v>
      </c>
      <c r="M52" s="339">
        <v>134</v>
      </c>
      <c r="N52" s="316">
        <v>2</v>
      </c>
      <c r="O52" s="348">
        <v>2093</v>
      </c>
    </row>
    <row r="53" spans="1:15" s="297" customFormat="1" ht="16.5" customHeight="1">
      <c r="A53" s="305" t="s">
        <v>137</v>
      </c>
      <c r="B53" s="338">
        <f t="shared" si="3"/>
        <v>71</v>
      </c>
      <c r="C53" s="339">
        <v>34717</v>
      </c>
      <c r="D53" s="340">
        <v>0</v>
      </c>
      <c r="E53" s="349">
        <v>0</v>
      </c>
      <c r="F53" s="342">
        <v>14</v>
      </c>
      <c r="G53" s="317">
        <v>10963</v>
      </c>
      <c r="H53" s="342">
        <v>3</v>
      </c>
      <c r="I53" s="317">
        <v>408</v>
      </c>
      <c r="J53" s="342">
        <v>54</v>
      </c>
      <c r="K53" s="339">
        <v>21701</v>
      </c>
      <c r="L53" s="340">
        <v>0</v>
      </c>
      <c r="M53" s="350">
        <v>0</v>
      </c>
      <c r="N53" s="340">
        <v>0</v>
      </c>
      <c r="O53" s="351">
        <v>0</v>
      </c>
    </row>
    <row r="54" spans="1:15" s="297" customFormat="1" ht="12.9" hidden="1" customHeight="1">
      <c r="A54" s="305" t="s">
        <v>143</v>
      </c>
      <c r="B54" s="338">
        <f t="shared" si="3"/>
        <v>73</v>
      </c>
      <c r="C54" s="339">
        <v>39525</v>
      </c>
      <c r="D54" s="342">
        <v>3</v>
      </c>
      <c r="E54" s="317">
        <v>2578</v>
      </c>
      <c r="F54" s="342">
        <v>12</v>
      </c>
      <c r="G54" s="317">
        <v>10317</v>
      </c>
      <c r="H54" s="340">
        <v>1</v>
      </c>
      <c r="I54" s="317">
        <v>261</v>
      </c>
      <c r="J54" s="340">
        <v>51</v>
      </c>
      <c r="K54" s="341">
        <v>24050</v>
      </c>
      <c r="L54" s="340">
        <v>6</v>
      </c>
      <c r="M54" s="317">
        <v>2319</v>
      </c>
      <c r="N54" s="340">
        <v>0</v>
      </c>
      <c r="O54" s="351">
        <v>0</v>
      </c>
    </row>
    <row r="55" spans="1:15" s="320" customFormat="1" ht="12.9" hidden="1" customHeight="1">
      <c r="A55" s="345" t="s">
        <v>144</v>
      </c>
      <c r="B55" s="338">
        <v>58</v>
      </c>
      <c r="C55" s="346">
        <v>29848</v>
      </c>
      <c r="D55" s="338">
        <v>5</v>
      </c>
      <c r="E55" s="352">
        <v>1810</v>
      </c>
      <c r="F55" s="338">
        <v>5</v>
      </c>
      <c r="G55" s="352">
        <v>4920</v>
      </c>
      <c r="H55" s="316">
        <v>0</v>
      </c>
      <c r="I55" s="353">
        <v>0</v>
      </c>
      <c r="J55" s="338">
        <v>45</v>
      </c>
      <c r="K55" s="346">
        <v>20138</v>
      </c>
      <c r="L55" s="316">
        <v>1</v>
      </c>
      <c r="M55" s="352">
        <v>1120</v>
      </c>
      <c r="N55" s="316">
        <v>2</v>
      </c>
      <c r="O55" s="348">
        <v>1860</v>
      </c>
    </row>
    <row r="56" spans="1:15" s="320" customFormat="1" ht="12.9" hidden="1" customHeight="1">
      <c r="A56" s="305" t="s">
        <v>182</v>
      </c>
      <c r="B56" s="338">
        <v>59</v>
      </c>
      <c r="C56" s="339">
        <v>31331</v>
      </c>
      <c r="D56" s="342">
        <v>3</v>
      </c>
      <c r="E56" s="317">
        <v>2858</v>
      </c>
      <c r="F56" s="342">
        <v>5</v>
      </c>
      <c r="G56" s="317">
        <v>5776</v>
      </c>
      <c r="H56" s="340">
        <v>2</v>
      </c>
      <c r="I56" s="349">
        <v>871</v>
      </c>
      <c r="J56" s="342">
        <v>46</v>
      </c>
      <c r="K56" s="339">
        <v>17862</v>
      </c>
      <c r="L56" s="316">
        <v>1</v>
      </c>
      <c r="M56" s="317">
        <v>994</v>
      </c>
      <c r="N56" s="316">
        <v>2</v>
      </c>
      <c r="O56" s="348">
        <v>2970</v>
      </c>
    </row>
    <row r="57" spans="1:15" s="320" customFormat="1" ht="12.9" hidden="1" customHeight="1">
      <c r="A57" s="305" t="s">
        <v>183</v>
      </c>
      <c r="B57" s="338">
        <v>57</v>
      </c>
      <c r="C57" s="339">
        <v>28036</v>
      </c>
      <c r="D57" s="342">
        <v>7</v>
      </c>
      <c r="E57" s="317">
        <v>4523</v>
      </c>
      <c r="F57" s="342">
        <v>8</v>
      </c>
      <c r="G57" s="317">
        <v>5283</v>
      </c>
      <c r="H57" s="340">
        <v>0</v>
      </c>
      <c r="I57" s="349">
        <v>0</v>
      </c>
      <c r="J57" s="342">
        <v>39</v>
      </c>
      <c r="K57" s="339">
        <v>16003</v>
      </c>
      <c r="L57" s="316">
        <v>1</v>
      </c>
      <c r="M57" s="317">
        <v>134</v>
      </c>
      <c r="N57" s="316">
        <v>2</v>
      </c>
      <c r="O57" s="348">
        <v>2093</v>
      </c>
    </row>
    <row r="58" spans="1:15" s="320" customFormat="1" ht="12.9" customHeight="1">
      <c r="A58" s="305" t="s">
        <v>184</v>
      </c>
      <c r="B58" s="338">
        <v>53</v>
      </c>
      <c r="C58" s="339">
        <v>23574</v>
      </c>
      <c r="D58" s="342">
        <v>13</v>
      </c>
      <c r="E58" s="317">
        <v>6386</v>
      </c>
      <c r="F58" s="342">
        <v>6</v>
      </c>
      <c r="G58" s="317">
        <v>3932</v>
      </c>
      <c r="H58" s="340">
        <v>0</v>
      </c>
      <c r="I58" s="349">
        <v>0</v>
      </c>
      <c r="J58" s="342">
        <v>33</v>
      </c>
      <c r="K58" s="339">
        <v>12723</v>
      </c>
      <c r="L58" s="316">
        <v>1</v>
      </c>
      <c r="M58" s="317">
        <v>533</v>
      </c>
      <c r="N58" s="316">
        <v>0</v>
      </c>
      <c r="O58" s="348">
        <v>0</v>
      </c>
    </row>
    <row r="59" spans="1:15" s="320" customFormat="1" ht="12.9" customHeight="1">
      <c r="A59" s="305" t="s">
        <v>185</v>
      </c>
      <c r="B59" s="338">
        <v>51</v>
      </c>
      <c r="C59" s="339">
        <v>30051</v>
      </c>
      <c r="D59" s="342">
        <v>11</v>
      </c>
      <c r="E59" s="317">
        <v>5100</v>
      </c>
      <c r="F59" s="342">
        <v>6</v>
      </c>
      <c r="G59" s="317">
        <v>7305</v>
      </c>
      <c r="H59" s="340">
        <v>0</v>
      </c>
      <c r="I59" s="349">
        <v>0</v>
      </c>
      <c r="J59" s="342">
        <v>34</v>
      </c>
      <c r="K59" s="339">
        <v>17646</v>
      </c>
      <c r="L59" s="316">
        <v>0</v>
      </c>
      <c r="M59" s="317">
        <v>0</v>
      </c>
      <c r="N59" s="316">
        <v>0</v>
      </c>
      <c r="O59" s="354">
        <v>0</v>
      </c>
    </row>
    <row r="60" spans="1:15" s="320" customFormat="1" ht="12.9" customHeight="1">
      <c r="A60" s="305" t="s">
        <v>186</v>
      </c>
      <c r="B60" s="338">
        <v>41</v>
      </c>
      <c r="C60" s="339">
        <v>21184</v>
      </c>
      <c r="D60" s="342">
        <v>12</v>
      </c>
      <c r="E60" s="317">
        <v>7761</v>
      </c>
      <c r="F60" s="342">
        <v>5</v>
      </c>
      <c r="G60" s="317">
        <v>5660</v>
      </c>
      <c r="H60" s="340">
        <v>0</v>
      </c>
      <c r="I60" s="349">
        <v>0</v>
      </c>
      <c r="J60" s="342">
        <v>24</v>
      </c>
      <c r="K60" s="339">
        <v>7763</v>
      </c>
      <c r="L60" s="316">
        <v>0</v>
      </c>
      <c r="M60" s="317">
        <v>0</v>
      </c>
      <c r="N60" s="316">
        <v>0</v>
      </c>
      <c r="O60" s="354">
        <v>0</v>
      </c>
    </row>
    <row r="61" spans="1:15" s="320" customFormat="1" ht="12.9" customHeight="1">
      <c r="A61" s="305" t="s">
        <v>187</v>
      </c>
      <c r="B61" s="338">
        <v>33</v>
      </c>
      <c r="C61" s="339">
        <v>14463</v>
      </c>
      <c r="D61" s="342">
        <v>11</v>
      </c>
      <c r="E61" s="317">
        <v>5822</v>
      </c>
      <c r="F61" s="342">
        <v>4</v>
      </c>
      <c r="G61" s="317">
        <v>2427</v>
      </c>
      <c r="H61" s="340">
        <v>0</v>
      </c>
      <c r="I61" s="349">
        <v>0</v>
      </c>
      <c r="J61" s="342">
        <v>18</v>
      </c>
      <c r="K61" s="339">
        <v>6214</v>
      </c>
      <c r="L61" s="316">
        <v>0</v>
      </c>
      <c r="M61" s="317">
        <v>0</v>
      </c>
      <c r="N61" s="316">
        <v>0</v>
      </c>
      <c r="O61" s="354">
        <v>0</v>
      </c>
    </row>
    <row r="62" spans="1:15" s="320" customFormat="1" ht="12.9" customHeight="1">
      <c r="A62" s="305" t="s">
        <v>188</v>
      </c>
      <c r="B62" s="338">
        <v>29</v>
      </c>
      <c r="C62" s="339">
        <v>13613</v>
      </c>
      <c r="D62" s="342">
        <v>9</v>
      </c>
      <c r="E62" s="317">
        <v>8005</v>
      </c>
      <c r="F62" s="342">
        <v>1</v>
      </c>
      <c r="G62" s="317">
        <v>553</v>
      </c>
      <c r="H62" s="340">
        <v>0</v>
      </c>
      <c r="I62" s="349">
        <v>0</v>
      </c>
      <c r="J62" s="342">
        <v>19</v>
      </c>
      <c r="K62" s="339">
        <v>5055</v>
      </c>
      <c r="L62" s="316">
        <v>0</v>
      </c>
      <c r="M62" s="317">
        <v>0</v>
      </c>
      <c r="N62" s="316">
        <v>0</v>
      </c>
      <c r="O62" s="354">
        <v>0</v>
      </c>
    </row>
    <row r="63" spans="1:15" s="320" customFormat="1" ht="12.9" customHeight="1">
      <c r="A63" s="305" t="s">
        <v>189</v>
      </c>
      <c r="B63" s="338">
        <v>26</v>
      </c>
      <c r="C63" s="339">
        <v>10601</v>
      </c>
      <c r="D63" s="342">
        <v>5</v>
      </c>
      <c r="E63" s="317">
        <v>3837</v>
      </c>
      <c r="F63" s="342">
        <v>3</v>
      </c>
      <c r="G63" s="317">
        <v>1814</v>
      </c>
      <c r="H63" s="340">
        <v>0</v>
      </c>
      <c r="I63" s="349">
        <v>0</v>
      </c>
      <c r="J63" s="342">
        <v>18</v>
      </c>
      <c r="K63" s="339">
        <v>4950</v>
      </c>
      <c r="L63" s="316">
        <v>0</v>
      </c>
      <c r="M63" s="317">
        <v>0</v>
      </c>
      <c r="N63" s="316">
        <v>0</v>
      </c>
      <c r="O63" s="354">
        <v>0</v>
      </c>
    </row>
    <row r="64" spans="1:15" s="320" customFormat="1" ht="12.9" customHeight="1">
      <c r="A64" s="305" t="s">
        <v>190</v>
      </c>
      <c r="B64" s="338">
        <v>21</v>
      </c>
      <c r="C64" s="339">
        <v>7667</v>
      </c>
      <c r="D64" s="342">
        <v>2</v>
      </c>
      <c r="E64" s="317">
        <v>1912</v>
      </c>
      <c r="F64" s="342">
        <v>3</v>
      </c>
      <c r="G64" s="317">
        <v>1852</v>
      </c>
      <c r="H64" s="340">
        <v>0</v>
      </c>
      <c r="I64" s="349">
        <v>0</v>
      </c>
      <c r="J64" s="342">
        <v>16</v>
      </c>
      <c r="K64" s="339">
        <v>3903</v>
      </c>
      <c r="L64" s="316">
        <v>0</v>
      </c>
      <c r="M64" s="317">
        <v>0</v>
      </c>
      <c r="N64" s="316">
        <v>0</v>
      </c>
      <c r="O64" s="354">
        <v>0</v>
      </c>
    </row>
    <row r="65" spans="1:15" s="320" customFormat="1" ht="12.9" customHeight="1">
      <c r="A65" s="305" t="s">
        <v>191</v>
      </c>
      <c r="B65" s="338">
        <v>24</v>
      </c>
      <c r="C65" s="339">
        <v>7397</v>
      </c>
      <c r="D65" s="342">
        <v>7</v>
      </c>
      <c r="E65" s="317">
        <v>3644</v>
      </c>
      <c r="F65" s="342">
        <v>0</v>
      </c>
      <c r="G65" s="317">
        <v>0</v>
      </c>
      <c r="H65" s="340">
        <v>0</v>
      </c>
      <c r="I65" s="349">
        <v>0</v>
      </c>
      <c r="J65" s="342">
        <v>17</v>
      </c>
      <c r="K65" s="339">
        <v>3753</v>
      </c>
      <c r="L65" s="316">
        <v>0</v>
      </c>
      <c r="M65" s="317">
        <v>0</v>
      </c>
      <c r="N65" s="316">
        <v>0</v>
      </c>
      <c r="O65" s="354">
        <v>0</v>
      </c>
    </row>
    <row r="66" spans="1:15" s="320" customFormat="1" ht="12.9" customHeight="1">
      <c r="A66" s="305" t="s">
        <v>192</v>
      </c>
      <c r="B66" s="338">
        <v>23</v>
      </c>
      <c r="C66" s="339">
        <v>10379</v>
      </c>
      <c r="D66" s="342">
        <v>7</v>
      </c>
      <c r="E66" s="317">
        <v>5351</v>
      </c>
      <c r="F66" s="342">
        <v>0</v>
      </c>
      <c r="G66" s="317">
        <v>0</v>
      </c>
      <c r="H66" s="340">
        <v>0</v>
      </c>
      <c r="I66" s="349">
        <v>0</v>
      </c>
      <c r="J66" s="342">
        <v>16</v>
      </c>
      <c r="K66" s="339">
        <v>5028</v>
      </c>
      <c r="L66" s="316">
        <v>0</v>
      </c>
      <c r="M66" s="317">
        <v>0</v>
      </c>
      <c r="N66" s="316">
        <v>0</v>
      </c>
      <c r="O66" s="354">
        <v>0</v>
      </c>
    </row>
    <row r="67" spans="1:15" s="320" customFormat="1" ht="12.9" customHeight="1">
      <c r="A67" s="305" t="s">
        <v>193</v>
      </c>
      <c r="B67" s="338">
        <v>21</v>
      </c>
      <c r="C67" s="339">
        <v>11519</v>
      </c>
      <c r="D67" s="342">
        <v>4</v>
      </c>
      <c r="E67" s="317">
        <v>3092</v>
      </c>
      <c r="F67" s="342">
        <v>0</v>
      </c>
      <c r="G67" s="317">
        <v>0</v>
      </c>
      <c r="H67" s="340">
        <v>0</v>
      </c>
      <c r="I67" s="349">
        <v>0</v>
      </c>
      <c r="J67" s="342">
        <v>17</v>
      </c>
      <c r="K67" s="339">
        <v>8427</v>
      </c>
      <c r="L67" s="316">
        <v>0</v>
      </c>
      <c r="M67" s="317">
        <v>0</v>
      </c>
      <c r="N67" s="316">
        <v>0</v>
      </c>
      <c r="O67" s="354">
        <v>0</v>
      </c>
    </row>
    <row r="68" spans="1:15" s="320" customFormat="1" ht="12.9" customHeight="1">
      <c r="A68" s="305" t="s">
        <v>194</v>
      </c>
      <c r="B68" s="338">
        <v>25</v>
      </c>
      <c r="C68" s="339">
        <v>10651</v>
      </c>
      <c r="D68" s="342">
        <v>6</v>
      </c>
      <c r="E68" s="317">
        <v>3607</v>
      </c>
      <c r="F68" s="342">
        <v>0</v>
      </c>
      <c r="G68" s="317">
        <v>0</v>
      </c>
      <c r="H68" s="340">
        <v>0</v>
      </c>
      <c r="I68" s="349">
        <v>0</v>
      </c>
      <c r="J68" s="342">
        <v>19</v>
      </c>
      <c r="K68" s="339">
        <v>7044</v>
      </c>
      <c r="L68" s="316">
        <v>0</v>
      </c>
      <c r="M68" s="317">
        <v>0</v>
      </c>
      <c r="N68" s="316">
        <v>0</v>
      </c>
      <c r="O68" s="354">
        <v>0</v>
      </c>
    </row>
    <row r="69" spans="1:15" s="320" customFormat="1" ht="12.9" customHeight="1">
      <c r="A69" s="305" t="s">
        <v>195</v>
      </c>
      <c r="B69" s="338">
        <v>26</v>
      </c>
      <c r="C69" s="339">
        <v>10877</v>
      </c>
      <c r="D69" s="342">
        <v>6</v>
      </c>
      <c r="E69" s="317">
        <v>4389</v>
      </c>
      <c r="F69" s="342">
        <v>0</v>
      </c>
      <c r="G69" s="317">
        <v>0</v>
      </c>
      <c r="H69" s="340">
        <v>0</v>
      </c>
      <c r="I69" s="349">
        <v>0</v>
      </c>
      <c r="J69" s="342">
        <v>20</v>
      </c>
      <c r="K69" s="339">
        <v>6488</v>
      </c>
      <c r="L69" s="316">
        <v>0</v>
      </c>
      <c r="M69" s="317">
        <v>0</v>
      </c>
      <c r="N69" s="316">
        <v>0</v>
      </c>
      <c r="O69" s="354">
        <v>0</v>
      </c>
    </row>
    <row r="70" spans="1:15" s="320" customFormat="1" ht="12.9" customHeight="1">
      <c r="A70" s="305" t="s">
        <v>196</v>
      </c>
      <c r="B70" s="338">
        <v>25</v>
      </c>
      <c r="C70" s="339">
        <v>11417</v>
      </c>
      <c r="D70" s="342">
        <v>4</v>
      </c>
      <c r="E70" s="317">
        <v>2931</v>
      </c>
      <c r="F70" s="342">
        <v>0</v>
      </c>
      <c r="G70" s="317">
        <v>0</v>
      </c>
      <c r="H70" s="340">
        <v>0</v>
      </c>
      <c r="I70" s="349">
        <v>0</v>
      </c>
      <c r="J70" s="342">
        <v>21</v>
      </c>
      <c r="K70" s="339">
        <v>8486</v>
      </c>
      <c r="L70" s="316">
        <v>0</v>
      </c>
      <c r="M70" s="317">
        <v>0</v>
      </c>
      <c r="N70" s="316">
        <v>0</v>
      </c>
      <c r="O70" s="354">
        <v>0</v>
      </c>
    </row>
    <row r="71" spans="1:15" s="320" customFormat="1" ht="12.9" customHeight="1">
      <c r="A71" s="305" t="s">
        <v>197</v>
      </c>
      <c r="B71" s="338">
        <v>15</v>
      </c>
      <c r="C71" s="339">
        <v>8598</v>
      </c>
      <c r="D71" s="342">
        <v>2</v>
      </c>
      <c r="E71" s="317">
        <v>2612</v>
      </c>
      <c r="F71" s="342">
        <v>0</v>
      </c>
      <c r="G71" s="317">
        <v>0</v>
      </c>
      <c r="H71" s="340">
        <v>0</v>
      </c>
      <c r="I71" s="349">
        <v>0</v>
      </c>
      <c r="J71" s="342">
        <v>13</v>
      </c>
      <c r="K71" s="339">
        <v>5986</v>
      </c>
      <c r="L71" s="316">
        <v>0</v>
      </c>
      <c r="M71" s="317">
        <v>0</v>
      </c>
      <c r="N71" s="316">
        <v>0</v>
      </c>
      <c r="O71" s="354">
        <v>0</v>
      </c>
    </row>
    <row r="72" spans="1:15" s="320" customFormat="1" ht="12.9" customHeight="1">
      <c r="A72" s="305" t="s">
        <v>198</v>
      </c>
      <c r="B72" s="338">
        <v>15</v>
      </c>
      <c r="C72" s="339">
        <v>7095</v>
      </c>
      <c r="D72" s="342">
        <v>2</v>
      </c>
      <c r="E72" s="317">
        <v>987</v>
      </c>
      <c r="F72" s="342">
        <v>0</v>
      </c>
      <c r="G72" s="317">
        <v>0</v>
      </c>
      <c r="H72" s="340">
        <v>0</v>
      </c>
      <c r="I72" s="349">
        <v>0</v>
      </c>
      <c r="J72" s="342">
        <v>13</v>
      </c>
      <c r="K72" s="339">
        <v>6108</v>
      </c>
      <c r="L72" s="316">
        <v>0</v>
      </c>
      <c r="M72" s="317">
        <v>0</v>
      </c>
      <c r="N72" s="316">
        <v>0</v>
      </c>
      <c r="O72" s="354">
        <v>0</v>
      </c>
    </row>
    <row r="73" spans="1:15" s="320" customFormat="1" ht="12.9" customHeight="1">
      <c r="A73" s="305" t="s">
        <v>199</v>
      </c>
      <c r="B73" s="338">
        <v>18</v>
      </c>
      <c r="C73" s="339">
        <v>9862</v>
      </c>
      <c r="D73" s="342">
        <v>3</v>
      </c>
      <c r="E73" s="317">
        <v>2205</v>
      </c>
      <c r="F73" s="342">
        <v>0</v>
      </c>
      <c r="G73" s="317">
        <v>0</v>
      </c>
      <c r="H73" s="340">
        <v>0</v>
      </c>
      <c r="I73" s="349">
        <v>0</v>
      </c>
      <c r="J73" s="342">
        <v>15</v>
      </c>
      <c r="K73" s="339">
        <v>7657</v>
      </c>
      <c r="L73" s="316">
        <v>0</v>
      </c>
      <c r="M73" s="317">
        <v>0</v>
      </c>
      <c r="N73" s="316">
        <v>0</v>
      </c>
      <c r="O73" s="354">
        <v>0</v>
      </c>
    </row>
    <row r="74" spans="1:15" s="320" customFormat="1" ht="12.9" customHeight="1">
      <c r="A74" s="305" t="s">
        <v>251</v>
      </c>
      <c r="B74" s="338">
        <v>12</v>
      </c>
      <c r="C74" s="339">
        <v>3798</v>
      </c>
      <c r="D74" s="342">
        <v>2</v>
      </c>
      <c r="E74" s="317">
        <v>843</v>
      </c>
      <c r="F74" s="342">
        <v>0</v>
      </c>
      <c r="G74" s="317">
        <v>0</v>
      </c>
      <c r="H74" s="340">
        <v>0</v>
      </c>
      <c r="I74" s="349">
        <v>0</v>
      </c>
      <c r="J74" s="342">
        <v>10</v>
      </c>
      <c r="K74" s="339">
        <v>2955</v>
      </c>
      <c r="L74" s="316">
        <v>0</v>
      </c>
      <c r="M74" s="317">
        <v>0</v>
      </c>
      <c r="N74" s="316">
        <v>0</v>
      </c>
      <c r="O74" s="354">
        <v>0</v>
      </c>
    </row>
    <row r="75" spans="1:15" s="323" customFormat="1" ht="12.9" customHeight="1">
      <c r="A75" s="305" t="s">
        <v>200</v>
      </c>
      <c r="B75" s="338">
        <v>16</v>
      </c>
      <c r="C75" s="339">
        <v>3483</v>
      </c>
      <c r="D75" s="342">
        <v>1</v>
      </c>
      <c r="E75" s="317">
        <v>170</v>
      </c>
      <c r="F75" s="342">
        <v>0</v>
      </c>
      <c r="G75" s="317">
        <v>0</v>
      </c>
      <c r="H75" s="340">
        <v>0</v>
      </c>
      <c r="I75" s="349">
        <v>0</v>
      </c>
      <c r="J75" s="342">
        <v>15</v>
      </c>
      <c r="K75" s="339">
        <v>3313</v>
      </c>
      <c r="L75" s="316">
        <v>0</v>
      </c>
      <c r="M75" s="317">
        <v>0</v>
      </c>
      <c r="N75" s="316">
        <v>0</v>
      </c>
      <c r="O75" s="354">
        <v>0</v>
      </c>
    </row>
    <row r="76" spans="1:15" s="320" customFormat="1" ht="12.9" customHeight="1">
      <c r="A76" s="305" t="s">
        <v>164</v>
      </c>
      <c r="B76" s="338">
        <v>12</v>
      </c>
      <c r="C76" s="339">
        <v>2575</v>
      </c>
      <c r="D76" s="342">
        <v>3</v>
      </c>
      <c r="E76" s="317">
        <v>582</v>
      </c>
      <c r="F76" s="342">
        <v>0</v>
      </c>
      <c r="G76" s="317">
        <v>0</v>
      </c>
      <c r="H76" s="340">
        <v>0</v>
      </c>
      <c r="I76" s="349">
        <v>0</v>
      </c>
      <c r="J76" s="342">
        <v>9</v>
      </c>
      <c r="K76" s="339">
        <v>1993</v>
      </c>
      <c r="L76" s="316">
        <v>0</v>
      </c>
      <c r="M76" s="317">
        <v>0</v>
      </c>
      <c r="N76" s="316">
        <v>0</v>
      </c>
      <c r="O76" s="354">
        <v>0</v>
      </c>
    </row>
    <row r="77" spans="1:15" s="320" customFormat="1" ht="12.9" customHeight="1">
      <c r="A77" s="305" t="s">
        <v>165</v>
      </c>
      <c r="B77" s="338">
        <v>8</v>
      </c>
      <c r="C77" s="339">
        <v>1726</v>
      </c>
      <c r="D77" s="342">
        <v>1</v>
      </c>
      <c r="E77" s="317">
        <v>599</v>
      </c>
      <c r="F77" s="342">
        <v>0</v>
      </c>
      <c r="G77" s="317">
        <v>0</v>
      </c>
      <c r="H77" s="340">
        <v>0</v>
      </c>
      <c r="I77" s="349">
        <v>0</v>
      </c>
      <c r="J77" s="342">
        <v>7</v>
      </c>
      <c r="K77" s="339">
        <v>1127</v>
      </c>
      <c r="L77" s="316">
        <v>0</v>
      </c>
      <c r="M77" s="317">
        <v>0</v>
      </c>
      <c r="N77" s="316">
        <v>0</v>
      </c>
      <c r="O77" s="354">
        <v>0</v>
      </c>
    </row>
    <row r="78" spans="1:15" s="320" customFormat="1" ht="12.9" customHeight="1" thickBot="1">
      <c r="A78" s="355" t="s">
        <v>257</v>
      </c>
      <c r="B78" s="356">
        <f t="shared" ref="B78:C78" si="4">SUM(D78,F78,H78,J78,L78,N78)</f>
        <v>10</v>
      </c>
      <c r="C78" s="357">
        <f t="shared" si="4"/>
        <v>3175</v>
      </c>
      <c r="D78" s="358">
        <v>3</v>
      </c>
      <c r="E78" s="359">
        <v>1438</v>
      </c>
      <c r="F78" s="358">
        <v>0</v>
      </c>
      <c r="G78" s="359">
        <v>0</v>
      </c>
      <c r="H78" s="360">
        <v>0</v>
      </c>
      <c r="I78" s="361">
        <v>0</v>
      </c>
      <c r="J78" s="358">
        <v>7</v>
      </c>
      <c r="K78" s="357">
        <v>1737</v>
      </c>
      <c r="L78" s="362">
        <v>0</v>
      </c>
      <c r="M78" s="359">
        <v>0</v>
      </c>
      <c r="N78" s="362">
        <v>0</v>
      </c>
      <c r="O78" s="363">
        <v>0</v>
      </c>
    </row>
    <row r="79" spans="1:15" ht="12.9" customHeight="1">
      <c r="B79" s="306"/>
      <c r="C79" s="120"/>
      <c r="D79" s="306"/>
      <c r="E79" s="120"/>
      <c r="F79" s="306"/>
      <c r="G79" s="120"/>
      <c r="H79" s="306"/>
      <c r="I79" s="120"/>
      <c r="J79" s="306"/>
      <c r="K79" s="120"/>
      <c r="L79" s="308"/>
      <c r="M79" s="120"/>
      <c r="N79" s="308"/>
      <c r="O79" s="334" t="s">
        <v>166</v>
      </c>
    </row>
    <row r="80" spans="1:15" ht="12.9" customHeight="1">
      <c r="A80" s="335" t="s">
        <v>167</v>
      </c>
      <c r="B80" s="335"/>
      <c r="C80" s="335"/>
      <c r="D80" s="335"/>
      <c r="E80" s="335"/>
    </row>
    <row r="81" spans="1:5" ht="12.9" customHeight="1">
      <c r="A81" s="335" t="s">
        <v>201</v>
      </c>
      <c r="B81" s="335"/>
      <c r="C81" s="335"/>
      <c r="D81" s="335"/>
      <c r="E81" s="335"/>
    </row>
    <row r="82" spans="1:5" ht="12.9" customHeight="1">
      <c r="A82" s="335" t="s">
        <v>202</v>
      </c>
      <c r="B82" s="335"/>
      <c r="C82" s="335"/>
      <c r="D82" s="335"/>
      <c r="E82" s="335"/>
    </row>
    <row r="83" spans="1:5" ht="12.9" customHeight="1">
      <c r="A83" s="335" t="s">
        <v>259</v>
      </c>
      <c r="B83" s="335"/>
      <c r="C83" s="335"/>
      <c r="D83" s="335"/>
      <c r="E83" s="335"/>
    </row>
    <row r="84" spans="1:5">
      <c r="A84" s="335"/>
      <c r="B84" s="335"/>
      <c r="C84" s="335"/>
      <c r="D84" s="335"/>
      <c r="E84" s="335"/>
    </row>
  </sheetData>
  <mergeCells count="19">
    <mergeCell ref="A4:A5"/>
    <mergeCell ref="B4:C5"/>
    <mergeCell ref="F4:G4"/>
    <mergeCell ref="L44:M45"/>
    <mergeCell ref="J4:K5"/>
    <mergeCell ref="F5:G5"/>
    <mergeCell ref="H5:I5"/>
    <mergeCell ref="H4:I4"/>
    <mergeCell ref="D4:E5"/>
    <mergeCell ref="N44:O45"/>
    <mergeCell ref="H45:I45"/>
    <mergeCell ref="J45:K45"/>
    <mergeCell ref="A44:A45"/>
    <mergeCell ref="B44:C45"/>
    <mergeCell ref="D44:E44"/>
    <mergeCell ref="F44:G45"/>
    <mergeCell ref="D45:E45"/>
    <mergeCell ref="H44:I44"/>
    <mergeCell ref="J44:K44"/>
  </mergeCells>
  <phoneticPr fontId="1"/>
  <pageMargins left="0.70866141732283472" right="0.70866141732283472" top="0.59055118110236227" bottom="0.19685039370078741" header="0.35433070866141736" footer="0"/>
  <pageSetup paperSize="9" scale="95" firstPageNumber="43" orientation="portrait" useFirstPageNumber="1" r:id="rId1"/>
  <headerFooter differentOddEven="1" scaleWithDoc="0" alignWithMargins="0">
    <oddHeader>&amp;R&amp;"ＭＳ Ｐ明朝,標準"Ⅳ林　　道　　　　　- &amp;P -</oddHeader>
    <evenHeader>&amp;L&amp;"ＭＳ Ｐ明朝,標準"- &amp;P -</even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F0"/>
  </sheetPr>
  <dimension ref="A1:N55"/>
  <sheetViews>
    <sheetView showGridLines="0" tabSelected="1" view="pageBreakPreview" zoomScale="154" zoomScaleNormal="154" zoomScaleSheetLayoutView="154" workbookViewId="0">
      <selection activeCell="G45" sqref="G45"/>
    </sheetView>
  </sheetViews>
  <sheetFormatPr defaultColWidth="9" defaultRowHeight="17.100000000000001" customHeight="1"/>
  <cols>
    <col min="1" max="1" width="5.6640625" style="372" customWidth="1"/>
    <col min="2" max="2" width="14.109375" style="372" customWidth="1"/>
    <col min="3" max="3" width="10.6640625" style="105" customWidth="1"/>
    <col min="4" max="4" width="8.6640625" style="105" customWidth="1"/>
    <col min="5" max="5" width="8.6640625" style="421" customWidth="1"/>
    <col min="6" max="6" width="11.6640625" style="105" customWidth="1"/>
    <col min="7" max="7" width="8.6640625" style="120" customWidth="1"/>
    <col min="8" max="8" width="11.6640625" style="120" customWidth="1"/>
    <col min="9" max="9" width="8.6640625" style="375" customWidth="1"/>
    <col min="10" max="10" width="7" style="375" customWidth="1"/>
    <col min="11" max="13" width="9.109375" style="376" bestFit="1" customWidth="1"/>
    <col min="14" max="14" width="11.109375" style="376" bestFit="1" customWidth="1"/>
    <col min="15" max="16384" width="9" style="377"/>
  </cols>
  <sheetData>
    <row r="1" spans="1:14" s="371" customFormat="1" ht="24" customHeight="1">
      <c r="A1" s="364" t="s">
        <v>203</v>
      </c>
      <c r="B1" s="365"/>
      <c r="C1" s="106"/>
      <c r="D1" s="106"/>
      <c r="E1" s="366"/>
      <c r="F1" s="367"/>
      <c r="G1" s="368"/>
      <c r="H1" s="368"/>
      <c r="I1" s="369"/>
      <c r="J1" s="369"/>
      <c r="K1" s="370"/>
      <c r="L1" s="370"/>
      <c r="M1" s="370"/>
      <c r="N1" s="370"/>
    </row>
    <row r="2" spans="1:14" s="371" customFormat="1" ht="9.6" customHeight="1">
      <c r="A2" s="365"/>
      <c r="B2" s="365"/>
      <c r="C2" s="106"/>
      <c r="D2" s="106"/>
      <c r="E2" s="366"/>
      <c r="F2" s="367"/>
      <c r="G2" s="368"/>
      <c r="H2" s="368"/>
      <c r="I2" s="369"/>
      <c r="J2" s="369"/>
      <c r="K2" s="370"/>
      <c r="L2" s="370"/>
      <c r="M2" s="370"/>
      <c r="N2" s="370"/>
    </row>
    <row r="3" spans="1:14" ht="12" customHeight="1" thickBot="1">
      <c r="E3" s="373"/>
      <c r="I3" s="374" t="s">
        <v>204</v>
      </c>
    </row>
    <row r="4" spans="1:14" ht="17.100000000000001" customHeight="1">
      <c r="A4" s="378" t="s">
        <v>68</v>
      </c>
      <c r="B4" s="379"/>
      <c r="C4" s="380" t="s">
        <v>69</v>
      </c>
      <c r="D4" s="381" t="s">
        <v>260</v>
      </c>
      <c r="E4" s="381"/>
      <c r="F4" s="381"/>
      <c r="G4" s="382" t="s">
        <v>261</v>
      </c>
      <c r="H4" s="382"/>
      <c r="I4" s="383"/>
      <c r="J4" s="384"/>
      <c r="M4" s="208"/>
    </row>
    <row r="5" spans="1:14" ht="17.100000000000001" customHeight="1">
      <c r="A5" s="385"/>
      <c r="B5" s="386"/>
      <c r="C5" s="387"/>
      <c r="D5" s="388" t="s">
        <v>205</v>
      </c>
      <c r="E5" s="388"/>
      <c r="F5" s="389" t="s">
        <v>206</v>
      </c>
      <c r="G5" s="389" t="s">
        <v>205</v>
      </c>
      <c r="H5" s="389" t="s">
        <v>206</v>
      </c>
      <c r="I5" s="390" t="s">
        <v>207</v>
      </c>
      <c r="J5" s="391"/>
    </row>
    <row r="6" spans="1:14" s="396" customFormat="1" ht="15" customHeight="1">
      <c r="A6" s="392" t="s">
        <v>208</v>
      </c>
      <c r="B6" s="393"/>
      <c r="C6" s="394">
        <f>C7+C14+C22+C40</f>
        <v>230834.75</v>
      </c>
      <c r="D6" s="1">
        <f>SUM(D7,D14,D22,D40)</f>
        <v>84</v>
      </c>
      <c r="E6" s="2">
        <f>SUM(E7,E14,E22,E40)</f>
        <v>24</v>
      </c>
      <c r="F6" s="1">
        <f>SUM(F7,F14,F22,F40)</f>
        <v>125404.79999999999</v>
      </c>
      <c r="G6" s="1">
        <f>SUM(G7,G14,G22,G40)</f>
        <v>6214</v>
      </c>
      <c r="H6" s="1">
        <f>SUM(H7,H14,H22,H40)+1</f>
        <v>5105729.5</v>
      </c>
      <c r="I6" s="3">
        <f>H6/C6</f>
        <v>22.118548008911137</v>
      </c>
      <c r="J6" s="395"/>
      <c r="K6" s="165"/>
      <c r="L6" s="165"/>
      <c r="M6" s="165"/>
      <c r="N6" s="165"/>
    </row>
    <row r="7" spans="1:14" s="396" customFormat="1" ht="15" customHeight="1">
      <c r="A7" s="397" t="s">
        <v>209</v>
      </c>
      <c r="B7" s="398"/>
      <c r="C7" s="399">
        <f>C8</f>
        <v>54931.53</v>
      </c>
      <c r="D7" s="4">
        <f>D8</f>
        <v>9</v>
      </c>
      <c r="E7" s="5">
        <f t="shared" ref="E7:G7" si="0">E8</f>
        <v>1</v>
      </c>
      <c r="F7" s="4">
        <f t="shared" si="0"/>
        <v>21520.7</v>
      </c>
      <c r="G7" s="4">
        <f t="shared" si="0"/>
        <v>900</v>
      </c>
      <c r="H7" s="4">
        <f>H8</f>
        <v>906999.3</v>
      </c>
      <c r="I7" s="6">
        <f>H7/C7</f>
        <v>16.511451619862036</v>
      </c>
      <c r="J7" s="395"/>
      <c r="K7" s="165"/>
      <c r="L7" s="165"/>
      <c r="M7" s="165"/>
      <c r="N7" s="165"/>
    </row>
    <row r="8" spans="1:14" s="396" customFormat="1" ht="15" customHeight="1">
      <c r="A8" s="400" t="s">
        <v>79</v>
      </c>
      <c r="B8" s="401"/>
      <c r="C8" s="402">
        <f>SUM(C9:C13)</f>
        <v>54931.53</v>
      </c>
      <c r="D8" s="7">
        <f t="shared" ref="D8:F8" si="1">SUM(D9:D13)</f>
        <v>9</v>
      </c>
      <c r="E8" s="8">
        <f t="shared" si="1"/>
        <v>1</v>
      </c>
      <c r="F8" s="7">
        <f t="shared" si="1"/>
        <v>21520.7</v>
      </c>
      <c r="G8" s="7">
        <f>SUM(G9:G13)</f>
        <v>900</v>
      </c>
      <c r="H8" s="7">
        <f>SUM(H9:H13)</f>
        <v>906999.3</v>
      </c>
      <c r="I8" s="3">
        <f>H8/C8</f>
        <v>16.511451619862036</v>
      </c>
      <c r="J8" s="395"/>
      <c r="K8" s="167"/>
      <c r="L8" s="167"/>
      <c r="M8" s="167"/>
      <c r="N8" s="167"/>
    </row>
    <row r="9" spans="1:14" ht="15" customHeight="1">
      <c r="A9" s="403"/>
      <c r="B9" s="404" t="s">
        <v>210</v>
      </c>
      <c r="C9" s="405">
        <v>9808.48</v>
      </c>
      <c r="D9" s="9">
        <v>8</v>
      </c>
      <c r="E9" s="10">
        <v>0</v>
      </c>
      <c r="F9" s="11">
        <v>18196</v>
      </c>
      <c r="G9" s="9">
        <f>319+D9</f>
        <v>327</v>
      </c>
      <c r="H9" s="11">
        <f>318595+F9</f>
        <v>336791</v>
      </c>
      <c r="I9" s="12">
        <f t="shared" ref="I9:I13" si="2">H9/C9</f>
        <v>34.336716800156601</v>
      </c>
      <c r="J9" s="391"/>
    </row>
    <row r="10" spans="1:14" ht="15" customHeight="1">
      <c r="A10" s="403"/>
      <c r="B10" s="404" t="s">
        <v>211</v>
      </c>
      <c r="C10" s="405">
        <v>27313.13</v>
      </c>
      <c r="D10" s="9">
        <v>0</v>
      </c>
      <c r="E10" s="10">
        <v>1</v>
      </c>
      <c r="F10" s="11">
        <v>662.7</v>
      </c>
      <c r="G10" s="9">
        <f>110+D10</f>
        <v>110</v>
      </c>
      <c r="H10" s="11">
        <f>95178.6+F10</f>
        <v>95841.3</v>
      </c>
      <c r="I10" s="12">
        <f>H10/C10</f>
        <v>3.5089826760975398</v>
      </c>
      <c r="J10" s="391"/>
    </row>
    <row r="11" spans="1:14" ht="15" customHeight="1">
      <c r="A11" s="403"/>
      <c r="B11" s="404" t="s">
        <v>212</v>
      </c>
      <c r="C11" s="405">
        <v>2970.05</v>
      </c>
      <c r="D11" s="9">
        <v>0</v>
      </c>
      <c r="E11" s="10">
        <v>0</v>
      </c>
      <c r="F11" s="11">
        <v>0</v>
      </c>
      <c r="G11" s="9">
        <f>173+D11</f>
        <v>173</v>
      </c>
      <c r="H11" s="11">
        <f>184256+F11</f>
        <v>184256</v>
      </c>
      <c r="I11" s="12">
        <f t="shared" si="2"/>
        <v>62.038012828066861</v>
      </c>
      <c r="J11" s="391"/>
    </row>
    <row r="12" spans="1:14" ht="15" customHeight="1">
      <c r="A12" s="403"/>
      <c r="B12" s="404" t="s">
        <v>213</v>
      </c>
      <c r="C12" s="405">
        <v>1400.53</v>
      </c>
      <c r="D12" s="9">
        <v>0</v>
      </c>
      <c r="E12" s="13">
        <v>0</v>
      </c>
      <c r="F12" s="11">
        <v>0</v>
      </c>
      <c r="G12" s="9">
        <f>44+D12</f>
        <v>44</v>
      </c>
      <c r="H12" s="11">
        <f>63574+F12</f>
        <v>63574</v>
      </c>
      <c r="I12" s="12">
        <f t="shared" si="2"/>
        <v>45.392815576960153</v>
      </c>
      <c r="J12" s="391"/>
    </row>
    <row r="13" spans="1:14" ht="15" customHeight="1">
      <c r="A13" s="403"/>
      <c r="B13" s="404" t="s">
        <v>214</v>
      </c>
      <c r="C13" s="405">
        <v>13439.34</v>
      </c>
      <c r="D13" s="9">
        <v>1</v>
      </c>
      <c r="E13" s="13">
        <v>0</v>
      </c>
      <c r="F13" s="11">
        <v>2662</v>
      </c>
      <c r="G13" s="9">
        <f>245+D13</f>
        <v>246</v>
      </c>
      <c r="H13" s="11">
        <f>223875+F13</f>
        <v>226537</v>
      </c>
      <c r="I13" s="12">
        <f t="shared" si="2"/>
        <v>16.856259310353039</v>
      </c>
      <c r="J13" s="391"/>
    </row>
    <row r="14" spans="1:14" s="396" customFormat="1" ht="15" customHeight="1">
      <c r="A14" s="406" t="s">
        <v>215</v>
      </c>
      <c r="B14" s="407"/>
      <c r="C14" s="408">
        <f>C15</f>
        <v>44013.440000000002</v>
      </c>
      <c r="D14" s="4">
        <f>D15</f>
        <v>14</v>
      </c>
      <c r="E14" s="5">
        <f t="shared" ref="E14:H14" si="3">E15</f>
        <v>0</v>
      </c>
      <c r="F14" s="4">
        <f t="shared" si="3"/>
        <v>18524</v>
      </c>
      <c r="G14" s="4">
        <f t="shared" si="3"/>
        <v>1095</v>
      </c>
      <c r="H14" s="4">
        <f t="shared" si="3"/>
        <v>910652.6</v>
      </c>
      <c r="I14" s="6">
        <f>H14/C14</f>
        <v>20.690330044640909</v>
      </c>
      <c r="J14" s="395"/>
      <c r="K14" s="167"/>
      <c r="L14" s="167"/>
      <c r="M14" s="167"/>
      <c r="N14" s="167"/>
    </row>
    <row r="15" spans="1:14" s="396" customFormat="1" ht="15" customHeight="1">
      <c r="A15" s="409" t="s">
        <v>86</v>
      </c>
      <c r="B15" s="127"/>
      <c r="C15" s="402">
        <f>SUM(C16:C21)</f>
        <v>44013.440000000002</v>
      </c>
      <c r="D15" s="7">
        <f t="shared" ref="D15:H15" si="4">SUM(D16:D21)</f>
        <v>14</v>
      </c>
      <c r="E15" s="8">
        <f t="shared" si="4"/>
        <v>0</v>
      </c>
      <c r="F15" s="7">
        <f t="shared" si="4"/>
        <v>18524</v>
      </c>
      <c r="G15" s="7">
        <f t="shared" si="4"/>
        <v>1095</v>
      </c>
      <c r="H15" s="7">
        <f t="shared" si="4"/>
        <v>910652.6</v>
      </c>
      <c r="I15" s="3">
        <f>H15/C15</f>
        <v>20.690330044640909</v>
      </c>
      <c r="J15" s="395"/>
      <c r="K15" s="167"/>
      <c r="L15" s="167"/>
      <c r="M15" s="167"/>
      <c r="N15" s="167"/>
    </row>
    <row r="16" spans="1:14" ht="15" customHeight="1">
      <c r="A16" s="403"/>
      <c r="B16" s="404" t="s">
        <v>216</v>
      </c>
      <c r="C16" s="405">
        <v>8291.82</v>
      </c>
      <c r="D16" s="11">
        <v>4</v>
      </c>
      <c r="E16" s="14">
        <v>0</v>
      </c>
      <c r="F16" s="11">
        <v>5010</v>
      </c>
      <c r="G16" s="11">
        <f>229+D16</f>
        <v>233</v>
      </c>
      <c r="H16" s="11">
        <f>166420+F16</f>
        <v>171430</v>
      </c>
      <c r="I16" s="12">
        <f t="shared" ref="I16:I21" si="5">H16/C16</f>
        <v>20.674592550248317</v>
      </c>
      <c r="J16" s="391"/>
    </row>
    <row r="17" spans="1:14" ht="15" customHeight="1">
      <c r="A17" s="403"/>
      <c r="B17" s="404" t="s">
        <v>217</v>
      </c>
      <c r="C17" s="405">
        <v>7109.13</v>
      </c>
      <c r="D17" s="11">
        <v>1</v>
      </c>
      <c r="E17" s="14">
        <v>0</v>
      </c>
      <c r="F17" s="11">
        <v>784</v>
      </c>
      <c r="G17" s="11">
        <f>64+D17</f>
        <v>65</v>
      </c>
      <c r="H17" s="11">
        <f>85520+F17</f>
        <v>86304</v>
      </c>
      <c r="I17" s="12">
        <f t="shared" si="5"/>
        <v>12.13988209527748</v>
      </c>
      <c r="J17" s="391"/>
    </row>
    <row r="18" spans="1:14" ht="15" customHeight="1">
      <c r="A18" s="403"/>
      <c r="B18" s="404" t="s">
        <v>218</v>
      </c>
      <c r="C18" s="405">
        <v>10999.82</v>
      </c>
      <c r="D18" s="11">
        <v>0</v>
      </c>
      <c r="E18" s="14">
        <v>0</v>
      </c>
      <c r="F18" s="11">
        <v>0</v>
      </c>
      <c r="G18" s="11">
        <f>121+D18</f>
        <v>121</v>
      </c>
      <c r="H18" s="11">
        <f>96782+F18</f>
        <v>96782</v>
      </c>
      <c r="I18" s="12">
        <f t="shared" si="5"/>
        <v>8.7985076119427408</v>
      </c>
      <c r="J18" s="391"/>
    </row>
    <row r="19" spans="1:14" ht="15" customHeight="1">
      <c r="A19" s="403"/>
      <c r="B19" s="404" t="s">
        <v>219</v>
      </c>
      <c r="C19" s="405">
        <v>397.06</v>
      </c>
      <c r="D19" s="9">
        <v>0</v>
      </c>
      <c r="E19" s="14">
        <v>0</v>
      </c>
      <c r="F19" s="11">
        <v>0</v>
      </c>
      <c r="G19" s="11">
        <v>2</v>
      </c>
      <c r="H19" s="11">
        <v>1702</v>
      </c>
      <c r="I19" s="12">
        <f t="shared" si="5"/>
        <v>4.2865058177605402</v>
      </c>
      <c r="J19" s="391"/>
    </row>
    <row r="20" spans="1:14" ht="15" customHeight="1">
      <c r="A20" s="403"/>
      <c r="B20" s="404" t="s">
        <v>220</v>
      </c>
      <c r="C20" s="405">
        <v>4682.82</v>
      </c>
      <c r="D20" s="11">
        <v>1</v>
      </c>
      <c r="E20" s="14">
        <v>0</v>
      </c>
      <c r="F20" s="11">
        <v>1502</v>
      </c>
      <c r="G20" s="11">
        <f>178+D20</f>
        <v>179</v>
      </c>
      <c r="H20" s="11">
        <f>154522+F20</f>
        <v>156024</v>
      </c>
      <c r="I20" s="12">
        <f t="shared" si="5"/>
        <v>33.318385075659542</v>
      </c>
      <c r="J20" s="391"/>
    </row>
    <row r="21" spans="1:14" ht="15" customHeight="1">
      <c r="A21" s="403"/>
      <c r="B21" s="404" t="s">
        <v>92</v>
      </c>
      <c r="C21" s="405">
        <v>12532.79</v>
      </c>
      <c r="D21" s="11">
        <v>8</v>
      </c>
      <c r="E21" s="14">
        <v>0</v>
      </c>
      <c r="F21" s="11">
        <v>11228</v>
      </c>
      <c r="G21" s="11">
        <f>487+D21</f>
        <v>495</v>
      </c>
      <c r="H21" s="11">
        <f>387182.6+F21</f>
        <v>398410.6</v>
      </c>
      <c r="I21" s="12">
        <f t="shared" si="5"/>
        <v>31.789457894052319</v>
      </c>
      <c r="J21" s="391"/>
    </row>
    <row r="22" spans="1:14" s="396" customFormat="1" ht="15" customHeight="1">
      <c r="A22" s="406" t="s">
        <v>93</v>
      </c>
      <c r="B22" s="407"/>
      <c r="C22" s="399">
        <f>C23+C30</f>
        <v>48206.149999999994</v>
      </c>
      <c r="D22" s="4">
        <f t="shared" ref="D22:H22" si="6">SUM(D23,D30)</f>
        <v>40</v>
      </c>
      <c r="E22" s="5">
        <f t="shared" si="6"/>
        <v>9</v>
      </c>
      <c r="F22" s="4">
        <f>SUM(F23,F30)</f>
        <v>45977</v>
      </c>
      <c r="G22" s="4">
        <f t="shared" si="6"/>
        <v>1862</v>
      </c>
      <c r="H22" s="4">
        <f t="shared" si="6"/>
        <v>1432177</v>
      </c>
      <c r="I22" s="6">
        <f>H22/C22</f>
        <v>29.709425042240465</v>
      </c>
      <c r="J22" s="395"/>
      <c r="K22" s="167"/>
      <c r="L22" s="167"/>
      <c r="M22" s="167"/>
      <c r="N22" s="167"/>
    </row>
    <row r="23" spans="1:14" s="396" customFormat="1" ht="15" customHeight="1">
      <c r="A23" s="409" t="s">
        <v>221</v>
      </c>
      <c r="B23" s="127"/>
      <c r="C23" s="402">
        <f>SUM(C24:C29)</f>
        <v>17817.36</v>
      </c>
      <c r="D23" s="7">
        <f t="shared" ref="D23:H23" si="7">SUM(D24:D29)</f>
        <v>6</v>
      </c>
      <c r="E23" s="8">
        <f t="shared" si="7"/>
        <v>1</v>
      </c>
      <c r="F23" s="7">
        <f t="shared" si="7"/>
        <v>11900.9</v>
      </c>
      <c r="G23" s="7">
        <f t="shared" si="7"/>
        <v>482</v>
      </c>
      <c r="H23" s="7">
        <f t="shared" si="7"/>
        <v>402106.9</v>
      </c>
      <c r="I23" s="3">
        <f>H23/C23</f>
        <v>22.568264883237472</v>
      </c>
      <c r="J23" s="395"/>
      <c r="K23" s="167"/>
      <c r="L23" s="167"/>
      <c r="M23" s="167"/>
      <c r="N23" s="167"/>
    </row>
    <row r="24" spans="1:14" ht="15" customHeight="1">
      <c r="A24" s="403"/>
      <c r="B24" s="404" t="s">
        <v>222</v>
      </c>
      <c r="C24" s="405">
        <v>6333.04</v>
      </c>
      <c r="D24" s="9">
        <v>3</v>
      </c>
      <c r="E24" s="14">
        <v>1</v>
      </c>
      <c r="F24" s="11">
        <v>2898.9</v>
      </c>
      <c r="G24" s="9">
        <f>125+D24</f>
        <v>128</v>
      </c>
      <c r="H24" s="11">
        <f>108451+F24</f>
        <v>111349.9</v>
      </c>
      <c r="I24" s="12">
        <f t="shared" ref="I24:I29" si="8">H24/C24</f>
        <v>17.582377499589455</v>
      </c>
      <c r="J24" s="391"/>
    </row>
    <row r="25" spans="1:14" ht="15" customHeight="1">
      <c r="A25" s="403"/>
      <c r="B25" s="404" t="s">
        <v>223</v>
      </c>
      <c r="C25" s="405">
        <v>33.33</v>
      </c>
      <c r="D25" s="9">
        <v>0</v>
      </c>
      <c r="E25" s="14">
        <v>0</v>
      </c>
      <c r="F25" s="11">
        <v>0</v>
      </c>
      <c r="G25" s="9">
        <v>1</v>
      </c>
      <c r="H25" s="11">
        <v>421</v>
      </c>
      <c r="I25" s="12">
        <f t="shared" si="8"/>
        <v>12.631263126312632</v>
      </c>
      <c r="J25" s="391"/>
    </row>
    <row r="26" spans="1:14" ht="15" customHeight="1">
      <c r="A26" s="403"/>
      <c r="B26" s="404" t="s">
        <v>224</v>
      </c>
      <c r="C26" s="405">
        <v>10337.56</v>
      </c>
      <c r="D26" s="9">
        <v>3</v>
      </c>
      <c r="E26" s="14">
        <v>0</v>
      </c>
      <c r="F26" s="11">
        <v>9002</v>
      </c>
      <c r="G26" s="9">
        <f>317+D26</f>
        <v>320</v>
      </c>
      <c r="H26" s="11">
        <f>255393+F26</f>
        <v>264395</v>
      </c>
      <c r="I26" s="12">
        <f t="shared" si="8"/>
        <v>25.576151432252875</v>
      </c>
      <c r="J26" s="391"/>
    </row>
    <row r="27" spans="1:14" ht="15" customHeight="1">
      <c r="A27" s="403"/>
      <c r="B27" s="404" t="s">
        <v>225</v>
      </c>
      <c r="C27" s="405">
        <v>733.83</v>
      </c>
      <c r="D27" s="9">
        <v>0</v>
      </c>
      <c r="E27" s="10">
        <v>0</v>
      </c>
      <c r="F27" s="11">
        <v>0</v>
      </c>
      <c r="G27" s="9">
        <v>30</v>
      </c>
      <c r="H27" s="11">
        <v>21884</v>
      </c>
      <c r="I27" s="12">
        <f t="shared" si="8"/>
        <v>29.821620811359576</v>
      </c>
      <c r="J27" s="391"/>
    </row>
    <row r="28" spans="1:14" ht="15" customHeight="1">
      <c r="A28" s="403"/>
      <c r="B28" s="404" t="s">
        <v>226</v>
      </c>
      <c r="C28" s="405">
        <v>363.16</v>
      </c>
      <c r="D28" s="9">
        <v>0</v>
      </c>
      <c r="E28" s="10">
        <v>0</v>
      </c>
      <c r="F28" s="11">
        <v>0</v>
      </c>
      <c r="G28" s="9">
        <v>3</v>
      </c>
      <c r="H28" s="11">
        <v>4057</v>
      </c>
      <c r="I28" s="12">
        <f t="shared" si="8"/>
        <v>11.171384513712963</v>
      </c>
      <c r="J28" s="391"/>
    </row>
    <row r="29" spans="1:14" ht="15" customHeight="1">
      <c r="A29" s="403"/>
      <c r="B29" s="404" t="s">
        <v>227</v>
      </c>
      <c r="C29" s="405">
        <v>16.440000000000001</v>
      </c>
      <c r="D29" s="9">
        <v>0</v>
      </c>
      <c r="E29" s="14">
        <v>0</v>
      </c>
      <c r="F29" s="11">
        <v>0</v>
      </c>
      <c r="G29" s="9">
        <v>0</v>
      </c>
      <c r="H29" s="11">
        <v>0</v>
      </c>
      <c r="I29" s="12">
        <f t="shared" si="8"/>
        <v>0</v>
      </c>
      <c r="J29" s="391"/>
    </row>
    <row r="30" spans="1:14" ht="15" customHeight="1">
      <c r="A30" s="409" t="s">
        <v>228</v>
      </c>
      <c r="B30" s="127"/>
      <c r="C30" s="402">
        <f>SUM(C31:C39)</f>
        <v>30388.789999999994</v>
      </c>
      <c r="D30" s="7">
        <f t="shared" ref="D30:H30" si="9">SUM(D31:D39)</f>
        <v>34</v>
      </c>
      <c r="E30" s="8">
        <f t="shared" si="9"/>
        <v>8</v>
      </c>
      <c r="F30" s="7">
        <f t="shared" si="9"/>
        <v>34076.1</v>
      </c>
      <c r="G30" s="7">
        <f t="shared" si="9"/>
        <v>1380</v>
      </c>
      <c r="H30" s="7">
        <f t="shared" si="9"/>
        <v>1030070.1</v>
      </c>
      <c r="I30" s="3">
        <f>H30/C30</f>
        <v>33.896384160080089</v>
      </c>
      <c r="J30" s="410"/>
    </row>
    <row r="31" spans="1:14" ht="15" customHeight="1">
      <c r="A31" s="403"/>
      <c r="B31" s="404" t="s">
        <v>229</v>
      </c>
      <c r="C31" s="405">
        <v>13599.16</v>
      </c>
      <c r="D31" s="11">
        <v>15</v>
      </c>
      <c r="E31" s="14">
        <v>2</v>
      </c>
      <c r="F31" s="11">
        <v>11255.6</v>
      </c>
      <c r="G31" s="11">
        <f>773+D31</f>
        <v>788</v>
      </c>
      <c r="H31" s="11">
        <f>578680+F31</f>
        <v>589935.6</v>
      </c>
      <c r="I31" s="15">
        <f t="shared" ref="I31:I39" si="10">H31/C31</f>
        <v>43.380297018345253</v>
      </c>
      <c r="J31" s="391"/>
    </row>
    <row r="32" spans="1:14" ht="15" customHeight="1">
      <c r="A32" s="403"/>
      <c r="B32" s="404" t="s">
        <v>230</v>
      </c>
      <c r="C32" s="405">
        <v>890.07</v>
      </c>
      <c r="D32" s="16">
        <v>1</v>
      </c>
      <c r="E32" s="14">
        <v>0</v>
      </c>
      <c r="F32" s="11">
        <v>818</v>
      </c>
      <c r="G32" s="11">
        <f>9+D32</f>
        <v>10</v>
      </c>
      <c r="H32" s="11">
        <f>4214+F32</f>
        <v>5032</v>
      </c>
      <c r="I32" s="15">
        <f t="shared" si="10"/>
        <v>5.6534879279157817</v>
      </c>
      <c r="J32" s="391"/>
    </row>
    <row r="33" spans="1:14" ht="15" customHeight="1">
      <c r="A33" s="403"/>
      <c r="B33" s="404" t="s">
        <v>231</v>
      </c>
      <c r="C33" s="405">
        <v>30.46</v>
      </c>
      <c r="D33" s="16">
        <v>0</v>
      </c>
      <c r="E33" s="14">
        <v>0</v>
      </c>
      <c r="F33" s="11">
        <v>0</v>
      </c>
      <c r="G33" s="11">
        <v>0</v>
      </c>
      <c r="H33" s="11">
        <v>0</v>
      </c>
      <c r="I33" s="15">
        <f t="shared" si="10"/>
        <v>0</v>
      </c>
      <c r="J33" s="391"/>
    </row>
    <row r="34" spans="1:14" ht="15" customHeight="1">
      <c r="A34" s="403"/>
      <c r="B34" s="404" t="s">
        <v>105</v>
      </c>
      <c r="C34" s="405">
        <v>15805.82</v>
      </c>
      <c r="D34" s="11">
        <v>18</v>
      </c>
      <c r="E34" s="14">
        <v>6</v>
      </c>
      <c r="F34" s="11">
        <v>22002.5</v>
      </c>
      <c r="G34" s="11">
        <f>564+D34</f>
        <v>582</v>
      </c>
      <c r="H34" s="11">
        <f>413100+F34</f>
        <v>435102.5</v>
      </c>
      <c r="I34" s="15">
        <f t="shared" si="10"/>
        <v>27.527992853265442</v>
      </c>
      <c r="J34" s="391"/>
    </row>
    <row r="35" spans="1:14" ht="15" customHeight="1">
      <c r="A35" s="403"/>
      <c r="B35" s="404" t="s">
        <v>232</v>
      </c>
      <c r="C35" s="405">
        <v>1.19</v>
      </c>
      <c r="D35" s="16">
        <v>0</v>
      </c>
      <c r="E35" s="14">
        <v>0</v>
      </c>
      <c r="F35" s="11">
        <v>0</v>
      </c>
      <c r="G35" s="11">
        <v>0</v>
      </c>
      <c r="H35" s="11">
        <v>0</v>
      </c>
      <c r="I35" s="15">
        <f t="shared" si="10"/>
        <v>0</v>
      </c>
      <c r="J35" s="391"/>
    </row>
    <row r="36" spans="1:14" ht="15" customHeight="1">
      <c r="A36" s="403"/>
      <c r="B36" s="404" t="s">
        <v>107</v>
      </c>
      <c r="C36" s="405">
        <v>1.62</v>
      </c>
      <c r="D36" s="16">
        <v>0</v>
      </c>
      <c r="E36" s="14">
        <v>0</v>
      </c>
      <c r="F36" s="11">
        <v>0</v>
      </c>
      <c r="G36" s="11">
        <v>0</v>
      </c>
      <c r="H36" s="11">
        <v>0</v>
      </c>
      <c r="I36" s="15">
        <f t="shared" si="10"/>
        <v>0</v>
      </c>
      <c r="J36" s="391"/>
    </row>
    <row r="37" spans="1:14" ht="15" customHeight="1">
      <c r="A37" s="403"/>
      <c r="B37" s="404" t="s">
        <v>233</v>
      </c>
      <c r="C37" s="405">
        <v>25.94</v>
      </c>
      <c r="D37" s="16">
        <v>0</v>
      </c>
      <c r="E37" s="14">
        <v>0</v>
      </c>
      <c r="F37" s="11">
        <v>0</v>
      </c>
      <c r="G37" s="11">
        <v>0</v>
      </c>
      <c r="H37" s="11">
        <v>0</v>
      </c>
      <c r="I37" s="15">
        <f t="shared" si="10"/>
        <v>0</v>
      </c>
      <c r="J37" s="391"/>
    </row>
    <row r="38" spans="1:14" ht="15" customHeight="1">
      <c r="A38" s="403"/>
      <c r="B38" s="404" t="s">
        <v>234</v>
      </c>
      <c r="C38" s="405">
        <v>1.76</v>
      </c>
      <c r="D38" s="11">
        <v>0</v>
      </c>
      <c r="E38" s="14">
        <v>0</v>
      </c>
      <c r="F38" s="11">
        <v>0</v>
      </c>
      <c r="G38" s="11">
        <v>0</v>
      </c>
      <c r="H38" s="11">
        <v>0</v>
      </c>
      <c r="I38" s="15">
        <f t="shared" si="10"/>
        <v>0</v>
      </c>
      <c r="J38" s="391"/>
    </row>
    <row r="39" spans="1:14" ht="15" customHeight="1">
      <c r="A39" s="403"/>
      <c r="B39" s="404" t="s">
        <v>235</v>
      </c>
      <c r="C39" s="405">
        <v>32.770000000000003</v>
      </c>
      <c r="D39" s="11">
        <v>0</v>
      </c>
      <c r="E39" s="14">
        <v>0</v>
      </c>
      <c r="F39" s="11">
        <v>0</v>
      </c>
      <c r="G39" s="11">
        <v>0</v>
      </c>
      <c r="H39" s="11">
        <v>0</v>
      </c>
      <c r="I39" s="15">
        <f t="shared" si="10"/>
        <v>0</v>
      </c>
      <c r="J39" s="391"/>
    </row>
    <row r="40" spans="1:14" ht="15" customHeight="1">
      <c r="A40" s="406" t="s">
        <v>236</v>
      </c>
      <c r="B40" s="407"/>
      <c r="C40" s="399">
        <f>C41+C44+C48</f>
        <v>83683.63</v>
      </c>
      <c r="D40" s="4">
        <f t="shared" ref="D40:H40" si="11">SUM(D41,D44,D48)</f>
        <v>21</v>
      </c>
      <c r="E40" s="5">
        <f t="shared" si="11"/>
        <v>14</v>
      </c>
      <c r="F40" s="4">
        <f t="shared" si="11"/>
        <v>39383.1</v>
      </c>
      <c r="G40" s="4">
        <f t="shared" si="11"/>
        <v>2357</v>
      </c>
      <c r="H40" s="4">
        <f t="shared" si="11"/>
        <v>1855899.6</v>
      </c>
      <c r="I40" s="6">
        <f>H40/C40</f>
        <v>22.177570451950995</v>
      </c>
      <c r="J40" s="410"/>
      <c r="L40" s="208"/>
    </row>
    <row r="41" spans="1:14" ht="15" customHeight="1">
      <c r="A41" s="409" t="s">
        <v>112</v>
      </c>
      <c r="B41" s="127"/>
      <c r="C41" s="402">
        <f>SUM(C42:C43)</f>
        <v>27401.29</v>
      </c>
      <c r="D41" s="7">
        <f t="shared" ref="D41:H41" si="12">SUM(D42:D43)</f>
        <v>9</v>
      </c>
      <c r="E41" s="8">
        <f t="shared" si="12"/>
        <v>0</v>
      </c>
      <c r="F41" s="7">
        <f t="shared" si="12"/>
        <v>13452.1</v>
      </c>
      <c r="G41" s="7">
        <f t="shared" si="12"/>
        <v>1021</v>
      </c>
      <c r="H41" s="7">
        <f t="shared" si="12"/>
        <v>669972.80000000005</v>
      </c>
      <c r="I41" s="3">
        <f>H41/C41</f>
        <v>24.45041091131111</v>
      </c>
      <c r="J41" s="410"/>
    </row>
    <row r="42" spans="1:14" ht="15" customHeight="1">
      <c r="A42" s="403"/>
      <c r="B42" s="404" t="s">
        <v>237</v>
      </c>
      <c r="C42" s="405">
        <v>17694</v>
      </c>
      <c r="D42" s="9">
        <v>6</v>
      </c>
      <c r="E42" s="10">
        <v>0</v>
      </c>
      <c r="F42" s="11">
        <v>11456.1</v>
      </c>
      <c r="G42" s="9">
        <f>677+D42</f>
        <v>683</v>
      </c>
      <c r="H42" s="11">
        <f>452263.7+F42</f>
        <v>463719.8</v>
      </c>
      <c r="I42" s="12">
        <f>H42/C42</f>
        <v>26.207742737651181</v>
      </c>
      <c r="J42" s="391"/>
    </row>
    <row r="43" spans="1:14" ht="15" customHeight="1">
      <c r="A43" s="403"/>
      <c r="B43" s="404" t="s">
        <v>238</v>
      </c>
      <c r="C43" s="405">
        <v>9707.2900000000009</v>
      </c>
      <c r="D43" s="9">
        <v>3</v>
      </c>
      <c r="E43" s="10">
        <v>0</v>
      </c>
      <c r="F43" s="11">
        <v>1996</v>
      </c>
      <c r="G43" s="9">
        <f>335+D43</f>
        <v>338</v>
      </c>
      <c r="H43" s="11">
        <f>204257+F43</f>
        <v>206253</v>
      </c>
      <c r="I43" s="12">
        <f>H43/C43</f>
        <v>21.247227599051843</v>
      </c>
      <c r="J43" s="391"/>
    </row>
    <row r="44" spans="1:14" s="396" customFormat="1" ht="15" customHeight="1">
      <c r="A44" s="409" t="s">
        <v>115</v>
      </c>
      <c r="B44" s="127"/>
      <c r="C44" s="402">
        <f>SUM(C45:C47)</f>
        <v>28830.420000000002</v>
      </c>
      <c r="D44" s="7">
        <f t="shared" ref="D44:H44" si="13">SUM(D45:D47)</f>
        <v>5</v>
      </c>
      <c r="E44" s="8">
        <f t="shared" si="13"/>
        <v>6</v>
      </c>
      <c r="F44" s="7">
        <f t="shared" si="13"/>
        <v>13699</v>
      </c>
      <c r="G44" s="7">
        <f t="shared" si="13"/>
        <v>612</v>
      </c>
      <c r="H44" s="7">
        <f t="shared" si="13"/>
        <v>583611.9</v>
      </c>
      <c r="I44" s="3">
        <f>H44/C44</f>
        <v>20.242920498556732</v>
      </c>
      <c r="J44" s="395"/>
      <c r="K44" s="167"/>
      <c r="L44" s="167"/>
      <c r="N44" s="167"/>
    </row>
    <row r="45" spans="1:14" ht="15" customHeight="1">
      <c r="A45" s="403"/>
      <c r="B45" s="404" t="s">
        <v>239</v>
      </c>
      <c r="C45" s="405">
        <v>10196.540000000001</v>
      </c>
      <c r="D45" s="9">
        <v>3</v>
      </c>
      <c r="E45" s="10">
        <v>1</v>
      </c>
      <c r="F45" s="11">
        <v>5144</v>
      </c>
      <c r="G45" s="9">
        <f>250+D45</f>
        <v>253</v>
      </c>
      <c r="H45" s="11">
        <f>244929.9+F45</f>
        <v>250073.9</v>
      </c>
      <c r="I45" s="12">
        <f t="shared" ref="I45:I47" si="14">H45/C45</f>
        <v>24.525368409283931</v>
      </c>
      <c r="J45" s="391"/>
    </row>
    <row r="46" spans="1:14" ht="15" customHeight="1">
      <c r="A46" s="403"/>
      <c r="B46" s="404" t="s">
        <v>240</v>
      </c>
      <c r="C46" s="405">
        <v>10100.59</v>
      </c>
      <c r="D46" s="9">
        <v>0</v>
      </c>
      <c r="E46" s="10">
        <v>1</v>
      </c>
      <c r="F46" s="11">
        <v>416</v>
      </c>
      <c r="G46" s="9">
        <f>118+D46</f>
        <v>118</v>
      </c>
      <c r="H46" s="11">
        <f>129463+F46</f>
        <v>129879</v>
      </c>
      <c r="I46" s="12">
        <f t="shared" si="14"/>
        <v>12.858555787335195</v>
      </c>
      <c r="J46" s="391"/>
    </row>
    <row r="47" spans="1:14" s="396" customFormat="1" ht="15" customHeight="1">
      <c r="A47" s="403"/>
      <c r="B47" s="404" t="s">
        <v>241</v>
      </c>
      <c r="C47" s="405">
        <v>8533.2900000000009</v>
      </c>
      <c r="D47" s="9">
        <v>2</v>
      </c>
      <c r="E47" s="10">
        <v>4</v>
      </c>
      <c r="F47" s="11">
        <v>8139</v>
      </c>
      <c r="G47" s="9">
        <f>239+D47</f>
        <v>241</v>
      </c>
      <c r="H47" s="11">
        <f>195520+F47</f>
        <v>203659</v>
      </c>
      <c r="I47" s="12">
        <f t="shared" si="14"/>
        <v>23.866410259114595</v>
      </c>
      <c r="J47" s="411"/>
      <c r="K47" s="167"/>
      <c r="L47" s="167"/>
      <c r="M47" s="167"/>
      <c r="N47" s="167"/>
    </row>
    <row r="48" spans="1:14" ht="15" customHeight="1">
      <c r="A48" s="409" t="s">
        <v>119</v>
      </c>
      <c r="B48" s="127"/>
      <c r="C48" s="402">
        <f>SUM(C49:C52)</f>
        <v>27451.920000000002</v>
      </c>
      <c r="D48" s="7">
        <f t="shared" ref="D48:H48" si="15">SUM(D49:D52)</f>
        <v>7</v>
      </c>
      <c r="E48" s="8">
        <f t="shared" si="15"/>
        <v>8</v>
      </c>
      <c r="F48" s="7">
        <f t="shared" si="15"/>
        <v>12232</v>
      </c>
      <c r="G48" s="7">
        <f t="shared" si="15"/>
        <v>724</v>
      </c>
      <c r="H48" s="7">
        <f t="shared" si="15"/>
        <v>602314.9</v>
      </c>
      <c r="I48" s="3">
        <f>H48/C48</f>
        <v>21.940720357628901</v>
      </c>
      <c r="J48" s="412"/>
    </row>
    <row r="49" spans="1:14" ht="15" customHeight="1">
      <c r="A49" s="403"/>
      <c r="B49" s="404" t="s">
        <v>242</v>
      </c>
      <c r="C49" s="405">
        <v>4743.75</v>
      </c>
      <c r="D49" s="9">
        <v>1</v>
      </c>
      <c r="E49" s="10">
        <v>2</v>
      </c>
      <c r="F49" s="11">
        <v>4534.6000000000004</v>
      </c>
      <c r="G49" s="9">
        <f>116+D49</f>
        <v>117</v>
      </c>
      <c r="H49" s="11">
        <f>110316+F49</f>
        <v>114850.6</v>
      </c>
      <c r="I49" s="12">
        <f t="shared" ref="I49:I52" si="16">H49/C49</f>
        <v>24.210930171277997</v>
      </c>
      <c r="J49" s="391"/>
    </row>
    <row r="50" spans="1:14" ht="15" customHeight="1">
      <c r="A50" s="403"/>
      <c r="B50" s="404" t="s">
        <v>243</v>
      </c>
      <c r="C50" s="405">
        <v>12747.97</v>
      </c>
      <c r="D50" s="9">
        <v>2</v>
      </c>
      <c r="E50" s="10">
        <v>3</v>
      </c>
      <c r="F50" s="11">
        <v>2902</v>
      </c>
      <c r="G50" s="9">
        <f>355+D50</f>
        <v>357</v>
      </c>
      <c r="H50" s="11">
        <f>289143.9+F50</f>
        <v>292045.90000000002</v>
      </c>
      <c r="I50" s="12">
        <f t="shared" si="16"/>
        <v>22.909208289633568</v>
      </c>
      <c r="J50" s="391"/>
    </row>
    <row r="51" spans="1:14" ht="15" customHeight="1">
      <c r="A51" s="403"/>
      <c r="B51" s="404" t="s">
        <v>244</v>
      </c>
      <c r="C51" s="405">
        <v>7121.04</v>
      </c>
      <c r="D51" s="9">
        <v>2</v>
      </c>
      <c r="E51" s="10">
        <v>3</v>
      </c>
      <c r="F51" s="11">
        <v>4044</v>
      </c>
      <c r="G51" s="9">
        <f>123+D51</f>
        <v>125</v>
      </c>
      <c r="H51" s="11">
        <f>100956+F51</f>
        <v>105000</v>
      </c>
      <c r="I51" s="12">
        <f t="shared" si="16"/>
        <v>14.745037241751206</v>
      </c>
      <c r="J51" s="391"/>
    </row>
    <row r="52" spans="1:14" s="396" customFormat="1" ht="15" customHeight="1" thickBot="1">
      <c r="A52" s="413"/>
      <c r="B52" s="414" t="s">
        <v>245</v>
      </c>
      <c r="C52" s="415">
        <v>2839.16</v>
      </c>
      <c r="D52" s="416">
        <v>2</v>
      </c>
      <c r="E52" s="417">
        <v>0</v>
      </c>
      <c r="F52" s="418">
        <v>751.4</v>
      </c>
      <c r="G52" s="416">
        <f>123+D52</f>
        <v>125</v>
      </c>
      <c r="H52" s="418">
        <f>89667+F52</f>
        <v>90418.4</v>
      </c>
      <c r="I52" s="419">
        <f t="shared" si="16"/>
        <v>31.846884289719494</v>
      </c>
      <c r="J52" s="411"/>
      <c r="K52" s="167"/>
      <c r="L52" s="167"/>
      <c r="M52" s="167"/>
      <c r="N52" s="167"/>
    </row>
    <row r="53" spans="1:14" ht="12" customHeight="1">
      <c r="B53" s="420"/>
      <c r="I53" s="422" t="s">
        <v>246</v>
      </c>
    </row>
    <row r="54" spans="1:14" ht="12" customHeight="1">
      <c r="A54" s="423" t="s">
        <v>247</v>
      </c>
      <c r="B54" s="420"/>
      <c r="I54" s="372"/>
    </row>
    <row r="55" spans="1:14" ht="12" customHeight="1">
      <c r="A55" s="423" t="s">
        <v>248</v>
      </c>
      <c r="B55" s="420"/>
    </row>
  </sheetData>
  <mergeCells count="16">
    <mergeCell ref="A30:B30"/>
    <mergeCell ref="A40:B40"/>
    <mergeCell ref="A41:B41"/>
    <mergeCell ref="A44:B44"/>
    <mergeCell ref="A48:B48"/>
    <mergeCell ref="A23:B23"/>
    <mergeCell ref="A4:B5"/>
    <mergeCell ref="C4:C5"/>
    <mergeCell ref="D4:F4"/>
    <mergeCell ref="G4:I4"/>
    <mergeCell ref="D5:E5"/>
    <mergeCell ref="A6:B6"/>
    <mergeCell ref="A8:B8"/>
    <mergeCell ref="A14:B14"/>
    <mergeCell ref="A15:B15"/>
    <mergeCell ref="A22:B22"/>
  </mergeCells>
  <phoneticPr fontId="1"/>
  <pageMargins left="0.70866141732283472" right="0.70866141732283472" top="0.78740157480314965" bottom="0.19685039370078741" header="0.35433070866141736" footer="0"/>
  <pageSetup paperSize="9" firstPageNumber="44" orientation="portrait" useFirstPageNumber="1" r:id="rId1"/>
  <headerFooter differentOddEven="1" scaleWithDoc="0" alignWithMargins="0">
    <oddHeader>&amp;R&amp;"ＭＳ Ｐ明朝,標準"Ⅳ林　　道　　　　　- &amp;P -</oddHeader>
    <evenHeader>&amp;L&amp;"ＭＳ Ｐ明朝,標準"- &amp;P -</even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7</vt:i4>
      </vt:variant>
    </vt:vector>
  </HeadingPairs>
  <TitlesOfParts>
    <vt:vector size="12" baseType="lpstr">
      <vt:lpstr>【39P】4-1林道網整備計画</vt:lpstr>
      <vt:lpstr>【40P-41P】4-2(1)開設累計・現況(2)開設実績</vt:lpstr>
      <vt:lpstr>【42P】4-3市町村別</vt:lpstr>
      <vt:lpstr>【43P】4-4(1)(2)林道改良等</vt:lpstr>
      <vt:lpstr>【44P】4-5作業道</vt:lpstr>
      <vt:lpstr>'【39P】4-1林道網整備計画'!Print_Area</vt:lpstr>
      <vt:lpstr>'【40P-41P】4-2(1)開設累計・現況(2)開設実績'!Print_Area</vt:lpstr>
      <vt:lpstr>'【42P】4-3市町村別'!Print_Area</vt:lpstr>
      <vt:lpstr>'【43P】4-4(1)(2)林道改良等'!Print_Area</vt:lpstr>
      <vt:lpstr>'【44P】4-5作業道'!Print_Area</vt:lpstr>
      <vt:lpstr>'【42P】4-3市町村別'!Print_Titles</vt:lpstr>
      <vt:lpstr>'【44P】4-5作業道'!Print_Titles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深町 尚子１８</dc:creator>
  <cp:keywords/>
  <dc:description/>
  <cp:lastModifiedBy>（林）齋藤 俊裕</cp:lastModifiedBy>
  <cp:revision/>
  <cp:lastPrinted>2024-03-06T06:54:29Z</cp:lastPrinted>
  <dcterms:created xsi:type="dcterms:W3CDTF">1997-01-08T22:48:59Z</dcterms:created>
  <dcterms:modified xsi:type="dcterms:W3CDTF">2024-03-06T06:55:30Z</dcterms:modified>
  <cp:category/>
  <cp:contentStatus/>
</cp:coreProperties>
</file>