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260" windowHeight="5730" activeTab="6"/>
  </bookViews>
  <sheets>
    <sheet name="5-1荒廃地発生・復旧 " sheetId="1" r:id="rId1"/>
    <sheet name="5-2公共" sheetId="2" r:id="rId2"/>
    <sheet name="5-3単独" sheetId="3" r:id="rId3"/>
    <sheet name="5-4保安林・その１" sheetId="4" r:id="rId4"/>
    <sheet name="その２" sheetId="5" r:id="rId5"/>
    <sheet name="その３" sheetId="6" r:id="rId6"/>
    <sheet name="その４" sheetId="7" r:id="rId7"/>
    <sheet name="5-5損失補償 5-6開発許可" sheetId="8" r:id="rId8"/>
  </sheets>
  <definedNames>
    <definedName name="_xlnm.Print_Area" localSheetId="0">'5-1荒廃地発生・復旧 '!$A$1:$G$55</definedName>
    <definedName name="_xlnm.Print_Area" localSheetId="2">'5-3単独'!$A$1:$AE$63</definedName>
    <definedName name="_xlnm.Print_Area" localSheetId="3">'5-4保安林・その１'!$A$1:$BL$66</definedName>
    <definedName name="_xlnm.Print_Area" localSheetId="7">'5-5損失補償 5-6開発許可'!$A$1:$O$58</definedName>
    <definedName name="_xlnm.Print_Area" localSheetId="4">'その２'!$A$1:$BN$58</definedName>
    <definedName name="_xlnm.Print_Area" localSheetId="5">'その３'!$A$1:$DP$66</definedName>
    <definedName name="_xlnm.Print_Area" localSheetId="6">'その４'!$A$1:$DR$58</definedName>
    <definedName name="_xlnm.Print_Titles" localSheetId="3">'5-4保安林・その１'!$5:$8</definedName>
    <definedName name="_xlnm.Print_Titles" localSheetId="4">'その２'!$6:$8</definedName>
    <definedName name="_xlnm.Print_Titles" localSheetId="5">'その３'!$6:$8</definedName>
    <definedName name="_xlnm.Print_Titles" localSheetId="6">'その４'!$6:$8</definedName>
  </definedNames>
  <calcPr fullCalcOnLoad="1"/>
</workbook>
</file>

<file path=xl/comments3.xml><?xml version="1.0" encoding="utf-8"?>
<comments xmlns="http://schemas.openxmlformats.org/spreadsheetml/2006/main">
  <authors>
    <author>群馬県庁</author>
  </authors>
  <commentList>
    <comment ref="D7" authorId="0">
      <text>
        <r>
          <rPr>
            <b/>
            <sz val="9"/>
            <rFont val="ＭＳ Ｐゴシック"/>
            <family val="3"/>
          </rPr>
          <t xml:space="preserve">経費は、千円未満切り捨て計算
治山事業調査費及び、工事事務費は含まない。
</t>
        </r>
      </text>
    </comment>
    <comment ref="F52" authorId="0">
      <text>
        <r>
          <rPr>
            <b/>
            <sz val="9"/>
            <rFont val="ＭＳ Ｐゴシック"/>
            <family val="3"/>
          </rPr>
          <t>藤岡市：契約違約金
（１２，８７０円）を含む
３０，４７１，０００円＋１２，８７０円＝３０，４８３，８７０円</t>
        </r>
      </text>
    </comment>
  </commentList>
</comments>
</file>

<file path=xl/sharedStrings.xml><?xml version="1.0" encoding="utf-8"?>
<sst xmlns="http://schemas.openxmlformats.org/spreadsheetml/2006/main" count="6193" uniqueCount="340">
  <si>
    <t>平成７年度</t>
  </si>
  <si>
    <t>平成８年度</t>
  </si>
  <si>
    <t>平成９年度</t>
  </si>
  <si>
    <t>平成１０年度</t>
  </si>
  <si>
    <t>平成１１年度</t>
  </si>
  <si>
    <t>平成１２年度</t>
  </si>
  <si>
    <t>平成１３年度</t>
  </si>
  <si>
    <t>平成１４年度</t>
  </si>
  <si>
    <t>第１表　荒廃地発生・復旧　</t>
  </si>
  <si>
    <t>（単位:ha･千円）</t>
  </si>
  <si>
    <t>区　　　分</t>
  </si>
  <si>
    <t>発　　　　　　生</t>
  </si>
  <si>
    <t>復旧面積</t>
  </si>
  <si>
    <t>残存荒廃地面積</t>
  </si>
  <si>
    <t>箇所数</t>
  </si>
  <si>
    <t>金　　額</t>
  </si>
  <si>
    <t>面　　積</t>
  </si>
  <si>
    <t>吾妻</t>
  </si>
  <si>
    <t>渋　　　川</t>
  </si>
  <si>
    <t>桐　　　生</t>
  </si>
  <si>
    <t>藤　　　岡</t>
  </si>
  <si>
    <t>富　　　岡</t>
  </si>
  <si>
    <t>単位：億円</t>
  </si>
  <si>
    <t>公共治山</t>
  </si>
  <si>
    <t>県単治山</t>
  </si>
  <si>
    <t>　　　（注）経費は事業費</t>
  </si>
  <si>
    <t>水源林機能回復を除く</t>
  </si>
  <si>
    <t>平成６年度</t>
  </si>
  <si>
    <t>平成１５年度</t>
  </si>
  <si>
    <t>平成１６年度</t>
  </si>
  <si>
    <t>平成１７年度</t>
  </si>
  <si>
    <t>（単位：千円）</t>
  </si>
  <si>
    <t>H12</t>
  </si>
  <si>
    <t>H1７</t>
  </si>
  <si>
    <t>平成１７年度</t>
  </si>
  <si>
    <t>H17</t>
  </si>
  <si>
    <t>第２表　　公共治山事業（市町村別・事業費）</t>
  </si>
  <si>
    <t>[資料]森林保全課　　　</t>
  </si>
  <si>
    <t>　　　2.端数処理のため、合計が一致しない場合がある。</t>
  </si>
  <si>
    <t>市町村名</t>
  </si>
  <si>
    <t>総　　　　　数</t>
  </si>
  <si>
    <t>山　　　地　　　治　　　山</t>
  </si>
  <si>
    <t>保安林管理道整備</t>
  </si>
  <si>
    <t>水土保全治山</t>
  </si>
  <si>
    <t>水　　源　　地　　域　　整　　備</t>
  </si>
  <si>
    <t>防災林造成</t>
  </si>
  <si>
    <t>特定流域総合治山</t>
  </si>
  <si>
    <t>共　生　保　安　林　整　備</t>
  </si>
  <si>
    <t>保　　安　　林　　整　　備</t>
  </si>
  <si>
    <t>復　旧　治　山</t>
  </si>
  <si>
    <t>予　防　治　山</t>
  </si>
  <si>
    <t>（治山施設修繕）</t>
  </si>
  <si>
    <t>地域防災対策　　　　　　　総合治山</t>
  </si>
  <si>
    <t>火山地域防災機能強化総合治山</t>
  </si>
  <si>
    <t>林地荒廃防止</t>
  </si>
  <si>
    <t>水源流域広域保全</t>
  </si>
  <si>
    <t>水源流域地域保全</t>
  </si>
  <si>
    <t>なだれ・土砂流出
防止林造成</t>
  </si>
  <si>
    <t>生活環境保全林整備</t>
  </si>
  <si>
    <t>環境防災林整備</t>
  </si>
  <si>
    <t>保  安  林  改  良</t>
  </si>
  <si>
    <t>複層林型保安林整備推進</t>
  </si>
  <si>
    <t>保　　　　　　　　　育</t>
  </si>
  <si>
    <t>箇 所</t>
  </si>
  <si>
    <t>経     費</t>
  </si>
  <si>
    <t>箇所</t>
  </si>
  <si>
    <t>面　　積</t>
  </si>
  <si>
    <t>経    費</t>
  </si>
  <si>
    <t>面　積</t>
  </si>
  <si>
    <t>平成１２年度</t>
  </si>
  <si>
    <t>平成１７年度</t>
  </si>
  <si>
    <t>利根上流森林計画区</t>
  </si>
  <si>
    <t>沼田市</t>
  </si>
  <si>
    <t>片品村</t>
  </si>
  <si>
    <t>川場村</t>
  </si>
  <si>
    <t>みなかみ町</t>
  </si>
  <si>
    <t>昭和村</t>
  </si>
  <si>
    <t>吾妻森林計画区</t>
  </si>
  <si>
    <t>　吾妻環境森林事務所</t>
  </si>
  <si>
    <t>中之条町</t>
  </si>
  <si>
    <t>東吾妻町</t>
  </si>
  <si>
    <t>長野原町</t>
  </si>
  <si>
    <t>嬬恋村</t>
  </si>
  <si>
    <t>草津町</t>
  </si>
  <si>
    <t>六合村</t>
  </si>
  <si>
    <t>高山村</t>
  </si>
  <si>
    <t>利根下流森林計画区</t>
  </si>
  <si>
    <t>前橋市</t>
  </si>
  <si>
    <t>渋川市</t>
  </si>
  <si>
    <t>榛東村</t>
  </si>
  <si>
    <t>吉岡町</t>
  </si>
  <si>
    <t>桐生市</t>
  </si>
  <si>
    <t>伊勢崎市</t>
  </si>
  <si>
    <t>太田市</t>
  </si>
  <si>
    <t>館林市</t>
  </si>
  <si>
    <t>みどり市</t>
  </si>
  <si>
    <t>玉村町</t>
  </si>
  <si>
    <t>板倉町</t>
  </si>
  <si>
    <t>明和町</t>
  </si>
  <si>
    <t>千代田町</t>
  </si>
  <si>
    <t>大泉町</t>
  </si>
  <si>
    <t>邑楽町</t>
  </si>
  <si>
    <t>西毛森林計画区</t>
  </si>
  <si>
    <t>高崎市</t>
  </si>
  <si>
    <t>安中市</t>
  </si>
  <si>
    <t>藤岡市</t>
  </si>
  <si>
    <t>上野村</t>
  </si>
  <si>
    <t>神流町</t>
  </si>
  <si>
    <t>富岡市</t>
  </si>
  <si>
    <t>下仁田町</t>
  </si>
  <si>
    <t>南牧村</t>
  </si>
  <si>
    <t>甘楽町</t>
  </si>
  <si>
    <t>山地災害応急</t>
  </si>
  <si>
    <t>第３表　単独治山事業（市町村別・事業費）</t>
  </si>
  <si>
    <t>（単位：千円）</t>
  </si>
  <si>
    <t>豊かな水と森林整備　　　水辺と森整備</t>
  </si>
  <si>
    <t>落石防護壁緩衝材機能回復</t>
  </si>
  <si>
    <t>経費</t>
  </si>
  <si>
    <t>平成１８年度</t>
  </si>
  <si>
    <t>（注）1.平成１７、１２年度の総数については、現在実施していない事業の実績が含まれるため本表の事業別合計とは一致しない。</t>
  </si>
  <si>
    <t>（注）県単治山、県単修繕は、災害関連事業費を含む。</t>
  </si>
  <si>
    <t>平成１９年度</t>
  </si>
  <si>
    <t>平成２０年度</t>
  </si>
  <si>
    <t>地すべり防止</t>
  </si>
  <si>
    <t>治山等激甚災害対策特別緊急</t>
  </si>
  <si>
    <t>奥地保安林
保全緊急対策</t>
  </si>
  <si>
    <t>治山激甚災害
対策特別緊急</t>
  </si>
  <si>
    <t>地すべり激甚災害
対策特別緊急</t>
  </si>
  <si>
    <t>〔資料〕森林保全課</t>
  </si>
  <si>
    <t>第４表　保安林（市町村別・林種別）</t>
  </si>
  <si>
    <t>　（注）１．兼種保安林については、上位（左欄）の保安林に面積を計上し、下位の保安林にはその面積を外数で括弧書きした。</t>
  </si>
  <si>
    <t>　（注）２．端数処理（四捨五入）により、計欄の数値と内訳の合計値は一致しない場合がある。</t>
  </si>
  <si>
    <t>（単位：ｈａ）</t>
  </si>
  <si>
    <t>市町村別</t>
  </si>
  <si>
    <t>総数</t>
  </si>
  <si>
    <t>水　源　か　ん　養　保　安　林</t>
  </si>
  <si>
    <t>土　砂　流　出　防　備　保　安　林</t>
  </si>
  <si>
    <t>土　砂　崩　壊　防　備　保　安　林</t>
  </si>
  <si>
    <t>合  計</t>
  </si>
  <si>
    <t>国        有</t>
  </si>
  <si>
    <t>民  有</t>
  </si>
  <si>
    <t>林野庁所管</t>
  </si>
  <si>
    <t>その他</t>
  </si>
  <si>
    <t>計</t>
  </si>
  <si>
    <t>平成１２年度</t>
  </si>
  <si>
    <t>（</t>
  </si>
  <si>
    <t>）</t>
  </si>
  <si>
    <t>平成１７年度</t>
  </si>
  <si>
    <t>利根上流</t>
  </si>
  <si>
    <t>沼田市</t>
  </si>
  <si>
    <t>片品村</t>
  </si>
  <si>
    <t>川場村</t>
  </si>
  <si>
    <t>みなかみ町</t>
  </si>
  <si>
    <t>昭和村</t>
  </si>
  <si>
    <t>吾妻
環境森林</t>
  </si>
  <si>
    <t>中之条町</t>
  </si>
  <si>
    <t>東吾妻町</t>
  </si>
  <si>
    <t>長野原町</t>
  </si>
  <si>
    <t>嬬恋村</t>
  </si>
  <si>
    <t>草津町</t>
  </si>
  <si>
    <t>六合村</t>
  </si>
  <si>
    <t>高山村</t>
  </si>
  <si>
    <t>利根下流</t>
  </si>
  <si>
    <t>前橋市</t>
  </si>
  <si>
    <t>富士見村</t>
  </si>
  <si>
    <t>伊勢崎市</t>
  </si>
  <si>
    <t>玉村町</t>
  </si>
  <si>
    <t>渋川市</t>
  </si>
  <si>
    <t>榛東村</t>
  </si>
  <si>
    <t>吉岡町</t>
  </si>
  <si>
    <t>水　源　か　ん　養　保　安　林</t>
  </si>
  <si>
    <t>桐生市</t>
  </si>
  <si>
    <t>みどり市</t>
  </si>
  <si>
    <t>太田市</t>
  </si>
  <si>
    <t>館林市</t>
  </si>
  <si>
    <t>板倉町</t>
  </si>
  <si>
    <t>明和町</t>
  </si>
  <si>
    <t>千代田町</t>
  </si>
  <si>
    <t>大泉町</t>
  </si>
  <si>
    <t>邑楽町</t>
  </si>
  <si>
    <t>西毛</t>
  </si>
  <si>
    <t>高崎市</t>
  </si>
  <si>
    <t>安中市</t>
  </si>
  <si>
    <t>藤岡市</t>
  </si>
  <si>
    <t>吉井町</t>
  </si>
  <si>
    <t>上野村</t>
  </si>
  <si>
    <t>神流町</t>
  </si>
  <si>
    <t>富岡市</t>
  </si>
  <si>
    <t>下仁田町</t>
  </si>
  <si>
    <t>南牧村</t>
  </si>
  <si>
    <t>甘楽町</t>
  </si>
  <si>
    <t>防　風　保　安　林</t>
  </si>
  <si>
    <t>水　害　防　備　保　安　林</t>
  </si>
  <si>
    <t>干　害　防　備　保　安　林</t>
  </si>
  <si>
    <t>な　だ　れ　防　止　保　安　林</t>
  </si>
  <si>
    <t>落　石　防　止　保　安　林</t>
  </si>
  <si>
    <t>保  健  保  安  林</t>
  </si>
  <si>
    <t>風  致  保  安  林</t>
  </si>
  <si>
    <t>東吾妻町</t>
  </si>
  <si>
    <t>神流町</t>
  </si>
  <si>
    <t>第５表　保安林損失補償の実績</t>
  </si>
  <si>
    <t>（面積の単位：ｈａ　・　補償金の単位：円）</t>
  </si>
  <si>
    <t>保安林の種類</t>
  </si>
  <si>
    <t>備　　　考</t>
  </si>
  <si>
    <t>箇所数</t>
  </si>
  <si>
    <t>面積</t>
  </si>
  <si>
    <t>補償額</t>
  </si>
  <si>
    <t>土砂流出防備保安林</t>
  </si>
  <si>
    <t>土砂崩壊防備保安林</t>
  </si>
  <si>
    <t>１号～３号小計</t>
  </si>
  <si>
    <t>防風保安林</t>
  </si>
  <si>
    <t>落石防止保安林</t>
  </si>
  <si>
    <t>保健保安林</t>
  </si>
  <si>
    <t>水害防備保安林</t>
  </si>
  <si>
    <t>４号以下小計</t>
  </si>
  <si>
    <t>計</t>
  </si>
  <si>
    <t>［資料］森林保全課</t>
  </si>
  <si>
    <t>第６表　林地開発許可等の実績</t>
  </si>
  <si>
    <t>（単位：ha）</t>
  </si>
  <si>
    <t>開発行為の        目的</t>
  </si>
  <si>
    <t>17年度</t>
  </si>
  <si>
    <t>18年度</t>
  </si>
  <si>
    <t>19年度</t>
  </si>
  <si>
    <t>20年度</t>
  </si>
  <si>
    <t>合　　計</t>
  </si>
  <si>
    <t>件数</t>
  </si>
  <si>
    <t>面積</t>
  </si>
  <si>
    <t>→→→→</t>
  </si>
  <si>
    <t>着色セル</t>
  </si>
  <si>
    <t>のみ入力可</t>
  </si>
  <si>
    <t>工場事業場の
設置</t>
  </si>
  <si>
    <t>他のセルは保護</t>
  </si>
  <si>
    <t>住宅団地の造成</t>
  </si>
  <si>
    <t>↓</t>
  </si>
  <si>
    <t>保護パスワードはrinchi</t>
  </si>
  <si>
    <t>別荘地の造成</t>
  </si>
  <si>
    <t>ツール→保護→シート保護の解除</t>
  </si>
  <si>
    <t>ゴルフ場の造成</t>
  </si>
  <si>
    <t>作業終了後は</t>
  </si>
  <si>
    <t>ツール→保護→シート保護（パスワード）</t>
  </si>
  <si>
    <t>宿泊施設･ﾚｼﾞｬｰ施設の設置</t>
  </si>
  <si>
    <t>農用地の造成</t>
  </si>
  <si>
    <t>土石等の採掘</t>
  </si>
  <si>
    <t>廃棄物処分場の
設置</t>
  </si>
  <si>
    <t>スキー場の造成</t>
  </si>
  <si>
    <t>その他</t>
  </si>
  <si>
    <t>連絡調整</t>
  </si>
  <si>
    <t xml:space="preserve"> </t>
  </si>
  <si>
    <t>（注）　１　　（　）内数値は、変更許可分で外数である。</t>
  </si>
  <si>
    <t>　　　　２　合計の面積欄は新規許可・変更許可・連絡調整の合計である。</t>
  </si>
  <si>
    <t>総　　　　　数</t>
  </si>
  <si>
    <t>県単治山</t>
  </si>
  <si>
    <t>県地すべり防止</t>
  </si>
  <si>
    <t>治山施設環境改善整備</t>
  </si>
  <si>
    <t>水源かん養治山</t>
  </si>
  <si>
    <t>県単修繕</t>
  </si>
  <si>
    <t>保安林リフレッシュ</t>
  </si>
  <si>
    <t>水源林機能回復</t>
  </si>
  <si>
    <t>浅間火山管理</t>
  </si>
  <si>
    <t>森の中の治山・林道　　　　施設見学会</t>
  </si>
  <si>
    <t>H12</t>
  </si>
  <si>
    <t>H20</t>
  </si>
  <si>
    <t xml:space="preserve"> 森林保全課</t>
  </si>
  <si>
    <t>利根沼田</t>
  </si>
  <si>
    <t>西　　　部</t>
  </si>
  <si>
    <t>　渋川森林事務所</t>
  </si>
  <si>
    <t>　桐生森林事務所</t>
  </si>
  <si>
    <t>　西部環境森林事務所</t>
  </si>
  <si>
    <t>　藤岡森林事務所</t>
  </si>
  <si>
    <t>　富岡森林事務所</t>
  </si>
  <si>
    <t>水土保全治山</t>
  </si>
  <si>
    <t>共　生　保　安　林　整　備</t>
  </si>
  <si>
    <t>森林土木効率化等　　　　技術開発モデル</t>
  </si>
  <si>
    <t>（特定保安林整備緊急治山）</t>
  </si>
  <si>
    <t>　桐生森林事務所</t>
  </si>
  <si>
    <t>山地災害危険地区管理</t>
  </si>
  <si>
    <t>土 砂 流 出 防 備 保 安 林</t>
  </si>
  <si>
    <t>利根沼田環境森林事務所</t>
  </si>
  <si>
    <t>平成２１年度</t>
  </si>
  <si>
    <t>平成２１年度</t>
  </si>
  <si>
    <t>H19より</t>
  </si>
  <si>
    <t>県単治山は治山事業調査費及び工事事務費を除く</t>
  </si>
  <si>
    <t>＊本表は平成20年度　国庫債務負担行為（ゼロ国債）に係る平成21年度歳出化分を含む。</t>
  </si>
  <si>
    <t>山地災害総合
減災対策治山</t>
  </si>
  <si>
    <t>水源の里保全緊急整備</t>
  </si>
  <si>
    <t>H21</t>
  </si>
  <si>
    <t>（地域生活基盤整備総合治山）</t>
  </si>
  <si>
    <t>渋川
環境森林</t>
  </si>
  <si>
    <t>前橋
環境森林</t>
  </si>
  <si>
    <t>利根
環境森林</t>
  </si>
  <si>
    <t xml:space="preserve">        Ｖ 治  山     - 55 -</t>
  </si>
  <si>
    <t>富岡
環境森林</t>
  </si>
  <si>
    <t>藤岡
環境森林</t>
  </si>
  <si>
    <t>高崎
環境森林</t>
  </si>
  <si>
    <t>太田
環境森林</t>
  </si>
  <si>
    <t>桐生
環境森林</t>
  </si>
  <si>
    <t xml:space="preserve">        Ｖ 治  山     - 57 -</t>
  </si>
  <si>
    <t xml:space="preserve">                    Ｖ 治  山     - 61 -</t>
  </si>
  <si>
    <t xml:space="preserve">        Ｖ 治  山     - 59 -</t>
  </si>
  <si>
    <t>（勢）東村</t>
  </si>
  <si>
    <t xml:space="preserve">                       Ｖ 治  山     - 65 -</t>
  </si>
  <si>
    <t xml:space="preserve">        Ｖ 治  山     - 63 -</t>
  </si>
  <si>
    <t>21年度</t>
  </si>
  <si>
    <t>49～16年度</t>
  </si>
  <si>
    <t>平成２1年度</t>
  </si>
  <si>
    <t>-66-</t>
  </si>
  <si>
    <t xml:space="preserve">  - 54 -</t>
  </si>
  <si>
    <t>H12</t>
  </si>
  <si>
    <t>（</t>
  </si>
  <si>
    <t>）</t>
  </si>
  <si>
    <t>H17</t>
  </si>
  <si>
    <t>H20</t>
  </si>
  <si>
    <t>（</t>
  </si>
  <si>
    <t>）</t>
  </si>
  <si>
    <t>（</t>
  </si>
  <si>
    <t>）</t>
  </si>
  <si>
    <t>（</t>
  </si>
  <si>
    <t>（</t>
  </si>
  <si>
    <t>（</t>
  </si>
  <si>
    <t>）</t>
  </si>
  <si>
    <t xml:space="preserve">  - 56 -</t>
  </si>
  <si>
    <t>（</t>
  </si>
  <si>
    <t>（</t>
  </si>
  <si>
    <t>（</t>
  </si>
  <si>
    <t>（</t>
  </si>
  <si>
    <t>（</t>
  </si>
  <si>
    <t>）</t>
  </si>
  <si>
    <t>（</t>
  </si>
  <si>
    <t>（</t>
  </si>
  <si>
    <t>（</t>
  </si>
  <si>
    <t>（</t>
  </si>
  <si>
    <t>(</t>
  </si>
  <si>
    <t>)</t>
  </si>
  <si>
    <t>（</t>
  </si>
  <si>
    <t xml:space="preserve">  - 58 -</t>
  </si>
  <si>
    <t xml:space="preserve">  - 60 -</t>
  </si>
  <si>
    <t xml:space="preserve">  - 62 -</t>
  </si>
  <si>
    <t xml:space="preserve">  - 64 -</t>
  </si>
  <si>
    <t>(</t>
  </si>
  <si>
    <t>)</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</si>
</sst>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 ;[Red]\-#,##0.0\ "/>
    <numFmt numFmtId="178" formatCode="#,##0_);[Red]\(#,##0\)"/>
    <numFmt numFmtId="179" formatCode="#,##0.0_);[Red]\(#,##0.0\)"/>
    <numFmt numFmtId="180" formatCode="#,##0;#,##0;&quot;-&quot;"/>
    <numFmt numFmtId="181" formatCode="#,##0.0;#,##0.0;&quot;-&quot;"/>
    <numFmt numFmtId="182" formatCode="#,##0_ "/>
    <numFmt numFmtId="183" formatCode="#,##0\ ;\-#,##0\ ;"/>
    <numFmt numFmtId="184" formatCode="&quot;(&quot;General&quot;)&quot;;&quot;(&quot;\-General&quot;)&quot;;"/>
    <numFmt numFmtId="185" formatCode="#,###"/>
    <numFmt numFmtId="186" formatCode="&quot;（&quot;##0\)"/>
    <numFmt numFmtId="187" formatCode="#,##0;#,##0;&quot;0&quot;"/>
    <numFmt numFmtId="188" formatCode="#,##0.0000;[Red]\-#,##0.0000"/>
    <numFmt numFmtId="189" formatCode="#,##0;[Red]#,##0"/>
    <numFmt numFmtId="190" formatCode="0;[Red]0"/>
    <numFmt numFmtId="191" formatCode="#,##0;[Red]\-#,##0;&quot;－&quot;"/>
    <numFmt numFmtId="192" formatCode="#,##0;[Red]\-#,##0;"/>
    <numFmt numFmtId="193" formatCode="#,##0;;"/>
    <numFmt numFmtId="194" formatCode="#,##0.0;[Red]\-#,##0.0"/>
    <numFmt numFmtId="195" formatCode="#,##0.000;[Red]\-#,##0.000"/>
    <numFmt numFmtId="196" formatCode="#,##0.00000;[Red]\-#,##0.00000"/>
    <numFmt numFmtId="197" formatCode="#,##0.0;#,##0.0"/>
    <numFmt numFmtId="198" formatCode="#,##0;;&quot;-&quot;"/>
    <numFmt numFmtId="199" formatCode="0.0_);[Red]\(0.0\)"/>
    <numFmt numFmtId="200" formatCode="0_ "/>
    <numFmt numFmtId="201" formatCode="0_);[Red]\(0\)"/>
    <numFmt numFmtId="202" formatCode="#,##0.0;\-#,##0.0;&quot;-&quot;"/>
    <numFmt numFmtId="203" formatCode="0;&quot;△ &quot;0"/>
    <numFmt numFmtId="204" formatCode="#,###.0"/>
    <numFmt numFmtId="205" formatCode="#,###.00"/>
    <numFmt numFmtId="206" formatCode="#,##0;&quot;△ &quot;#,##0"/>
    <numFmt numFmtId="207" formatCode="#,##0.0_ "/>
    <numFmt numFmtId="208" formatCode="#,##0.00_ "/>
    <numFmt numFmtId="209" formatCode="#,##0.000_ "/>
    <numFmt numFmtId="210" formatCode="#,###.000"/>
    <numFmt numFmtId="211" formatCode="0.000_ "/>
    <numFmt numFmtId="212" formatCode="0.00_ "/>
    <numFmt numFmtId="213" formatCode="0.0000_ "/>
    <numFmt numFmtId="214" formatCode="0.0_ "/>
    <numFmt numFmtId="215" formatCode="#,##0.0000_ "/>
    <numFmt numFmtId="216" formatCode="#,##0.0000_);[Red]\(#,##0.0000\)"/>
  </numFmts>
  <fonts count="50">
    <font>
      <sz val="11"/>
      <name val="ＭＳ Ｐゴシック"/>
      <family val="3"/>
    </font>
    <font>
      <sz val="12"/>
      <name val="ＭＳ Ｐ明朝"/>
      <family val="1"/>
    </font>
    <font>
      <sz val="6"/>
      <name val="ＭＳ Ｐ明朝"/>
      <family val="1"/>
    </font>
    <font>
      <b/>
      <sz val="14"/>
      <name val="ＭＳ Ｐ明朝"/>
      <family val="1"/>
    </font>
    <font>
      <b/>
      <sz val="12"/>
      <name val="ＭＳ Ｐ明朝"/>
      <family val="1"/>
    </font>
    <font>
      <b/>
      <sz val="10"/>
      <name val="ＭＳ Ｐ明朝"/>
      <family val="1"/>
    </font>
    <font>
      <sz val="10"/>
      <name val="ＭＳ Ｐ明朝"/>
      <family val="1"/>
    </font>
    <font>
      <sz val="11"/>
      <name val="ＭＳ Ｐ明朝"/>
      <family val="1"/>
    </font>
    <font>
      <sz val="9"/>
      <name val="ＭＳ ＰＲゴシック"/>
      <family val="3"/>
    </font>
    <font>
      <b/>
      <sz val="11"/>
      <name val="ＭＳ Ｐゴシック"/>
      <family val="3"/>
    </font>
    <font>
      <b/>
      <sz val="9"/>
      <name val="ＭＳ ＰＲゴシック"/>
      <family val="3"/>
    </font>
    <font>
      <sz val="6"/>
      <name val="ＭＳ Ｐゴシック"/>
      <family val="3"/>
    </font>
    <font>
      <sz val="10"/>
      <name val="ＭＳ ＰＲゴシック"/>
      <family val="3"/>
    </font>
    <font>
      <u val="single"/>
      <sz val="11"/>
      <color indexed="12"/>
      <name val="ＭＳ Ｐゴシック"/>
      <family val="3"/>
    </font>
    <font>
      <u val="single"/>
      <sz val="11"/>
      <color indexed="36"/>
      <name val="ＭＳ Ｐゴシック"/>
      <family val="3"/>
    </font>
    <font>
      <b/>
      <sz val="20"/>
      <name val="ＭＳ Ｐ明朝"/>
      <family val="1"/>
    </font>
    <font>
      <b/>
      <sz val="18"/>
      <name val="ＭＳ Ｐ明朝"/>
      <family val="1"/>
    </font>
    <font>
      <sz val="8"/>
      <name val="ＭＳ Ｐ明朝"/>
      <family val="1"/>
    </font>
    <font>
      <b/>
      <sz val="10"/>
      <name val="ＭＳ ＰＲゴシック"/>
      <family val="3"/>
    </font>
    <font>
      <sz val="14.25"/>
      <color indexed="8"/>
      <name val="ＭＳ Ｐゴシック"/>
      <family val="3"/>
    </font>
    <font>
      <sz val="8"/>
      <color indexed="8"/>
      <name val="ＭＳ Ｐゴシック"/>
      <family val="3"/>
    </font>
    <font>
      <b/>
      <sz val="8"/>
      <color indexed="8"/>
      <name val="ＭＳ Ｐゴシック"/>
      <family val="3"/>
    </font>
    <font>
      <sz val="9.2"/>
      <color indexed="8"/>
      <name val="ＭＳ Ｐゴシック"/>
      <family val="3"/>
    </font>
    <font>
      <sz val="10"/>
      <color indexed="10"/>
      <name val="ＭＳ Ｐ明朝"/>
      <family val="1"/>
    </font>
    <font>
      <sz val="12"/>
      <name val="ＭＳ 明朝"/>
      <family val="1"/>
    </font>
    <font>
      <b/>
      <sz val="10"/>
      <name val="ＭＳ 明朝"/>
      <family val="1"/>
    </font>
    <font>
      <b/>
      <sz val="12"/>
      <name val="ＭＳ 明朝"/>
      <family val="1"/>
    </font>
    <font>
      <sz val="10"/>
      <name val="ＭＳ 明朝"/>
      <family val="1"/>
    </font>
    <font>
      <sz val="9"/>
      <name val="ＭＳ Ｐゴシック"/>
      <family val="3"/>
    </font>
    <font>
      <b/>
      <sz val="9"/>
      <name val="ＭＳ Ｐゴシック"/>
      <family val="3"/>
    </font>
    <font>
      <b/>
      <sz val="16"/>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25"/>
      <color indexed="8"/>
      <name val="ＭＳ Ｐゴシック"/>
      <family val="3"/>
    </font>
    <font>
      <b/>
      <sz val="8"/>
      <name val="ＭＳ Ｐゴシック"/>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8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medium"/>
      <top style="medium"/>
      <bottom>
        <color indexed="63"/>
      </bottom>
    </border>
    <border>
      <left style="thin"/>
      <right style="medium"/>
      <top>
        <color indexed="63"/>
      </top>
      <bottom>
        <color indexed="63"/>
      </bottom>
    </border>
    <border>
      <left style="thin"/>
      <right style="thin"/>
      <top style="thin"/>
      <bottom style="medium"/>
    </border>
    <border>
      <left style="thin"/>
      <right style="medium"/>
      <top>
        <color indexed="63"/>
      </top>
      <bottom style="medium"/>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medium"/>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thin"/>
      <right style="thin"/>
      <top>
        <color indexed="63"/>
      </top>
      <bottom style="medium"/>
    </border>
    <border>
      <left>
        <color indexed="63"/>
      </left>
      <right>
        <color indexed="63"/>
      </right>
      <top>
        <color indexed="63"/>
      </top>
      <bottom style="medium"/>
    </border>
    <border>
      <left style="medium"/>
      <right style="medium"/>
      <top style="medium"/>
      <bottom>
        <color indexed="63"/>
      </bottom>
    </border>
    <border>
      <left>
        <color indexed="63"/>
      </left>
      <right style="thin"/>
      <top style="thin"/>
      <bottom style="medium"/>
    </border>
    <border>
      <left style="thin"/>
      <right>
        <color indexed="63"/>
      </right>
      <top style="thin"/>
      <bottom style="medium"/>
    </border>
    <border>
      <left style="thin"/>
      <right style="medium"/>
      <top style="thin"/>
      <bottom style="medium"/>
    </border>
    <border>
      <left style="medium"/>
      <right style="medium"/>
      <top>
        <color indexed="63"/>
      </top>
      <bottom style="medium"/>
    </border>
    <border>
      <left style="medium"/>
      <right>
        <color indexed="63"/>
      </right>
      <top style="medium"/>
      <bottom>
        <color indexed="63"/>
      </bottom>
    </border>
    <border>
      <left>
        <color indexed="63"/>
      </left>
      <right style="thin"/>
      <top style="medium"/>
      <bottom>
        <color indexed="63"/>
      </bottom>
    </border>
    <border>
      <left style="thin"/>
      <right style="thin"/>
      <top style="medium"/>
      <bottom>
        <color indexed="63"/>
      </bottom>
    </border>
    <border>
      <left>
        <color indexed="63"/>
      </left>
      <right>
        <color indexed="63"/>
      </right>
      <top style="medium"/>
      <bottom>
        <color indexed="63"/>
      </bottom>
    </border>
    <border>
      <left style="thin"/>
      <right>
        <color indexed="63"/>
      </right>
      <top>
        <color indexed="63"/>
      </top>
      <bottom style="medium"/>
    </border>
    <border>
      <left style="medium"/>
      <right style="medium"/>
      <top>
        <color indexed="63"/>
      </top>
      <bottom>
        <color indexed="63"/>
      </bottom>
    </border>
    <border>
      <left style="thin"/>
      <right>
        <color indexed="63"/>
      </right>
      <top style="medium"/>
      <bottom>
        <color indexed="63"/>
      </bottom>
    </border>
    <border>
      <left>
        <color indexed="63"/>
      </left>
      <right style="medium"/>
      <top>
        <color indexed="63"/>
      </top>
      <bottom>
        <color indexed="63"/>
      </bottom>
    </border>
    <border>
      <left>
        <color indexed="63"/>
      </left>
      <right style="medium"/>
      <top style="medium"/>
      <bottom>
        <color indexed="63"/>
      </bottom>
    </border>
    <border>
      <left>
        <color indexed="63"/>
      </left>
      <right style="medium"/>
      <top>
        <color indexed="63"/>
      </top>
      <bottom style="medium"/>
    </border>
    <border>
      <left style="medium"/>
      <right>
        <color indexed="63"/>
      </right>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style="thin"/>
    </border>
    <border>
      <left style="thin"/>
      <right style="medium"/>
      <top style="thin"/>
      <bottom style="thin"/>
    </border>
    <border>
      <left style="thin"/>
      <right style="hair"/>
      <top style="hair"/>
      <bottom>
        <color indexed="63"/>
      </bottom>
    </border>
    <border>
      <left style="hair"/>
      <right style="thin"/>
      <top style="hair"/>
      <bottom>
        <color indexed="63"/>
      </bottom>
    </border>
    <border>
      <left style="thin"/>
      <right style="hair"/>
      <top style="thin"/>
      <bottom>
        <color indexed="63"/>
      </bottom>
    </border>
    <border>
      <left style="hair"/>
      <right style="thin"/>
      <top style="thin"/>
      <bottom>
        <color indexed="63"/>
      </bottom>
    </border>
    <border>
      <left style="thin"/>
      <right style="hair"/>
      <top>
        <color indexed="63"/>
      </top>
      <bottom style="thin"/>
    </border>
    <border>
      <left style="hair"/>
      <right style="thin"/>
      <top>
        <color indexed="63"/>
      </top>
      <bottom style="thin"/>
    </border>
    <border>
      <left style="thin"/>
      <right style="thin"/>
      <top style="medium"/>
      <bottom style="medium"/>
    </border>
    <border>
      <left>
        <color indexed="63"/>
      </left>
      <right>
        <color indexed="63"/>
      </right>
      <top style="medium"/>
      <bottom style="medium"/>
    </border>
    <border>
      <left style="medium"/>
      <right style="medium"/>
      <top style="medium"/>
      <bottom style="medium"/>
    </border>
    <border>
      <left style="medium"/>
      <right>
        <color indexed="63"/>
      </right>
      <top style="medium"/>
      <bottom style="thin"/>
    </border>
    <border>
      <left style="thin"/>
      <right style="medium"/>
      <top style="thin"/>
      <bottom>
        <color indexed="63"/>
      </bottom>
    </border>
    <border>
      <left>
        <color indexed="63"/>
      </left>
      <right style="thin"/>
      <top>
        <color indexed="63"/>
      </top>
      <bottom style="thin"/>
    </border>
    <border>
      <left style="medium"/>
      <right style="medium"/>
      <top style="thin"/>
      <bottom>
        <color indexed="63"/>
      </bottom>
    </border>
    <border>
      <left>
        <color indexed="63"/>
      </left>
      <right>
        <color indexed="63"/>
      </right>
      <top style="medium"/>
      <bottom style="thin"/>
    </border>
    <border>
      <left>
        <color indexed="63"/>
      </left>
      <right style="thin"/>
      <top style="medium"/>
      <bottom style="thin"/>
    </border>
    <border>
      <left style="thin"/>
      <right>
        <color indexed="63"/>
      </right>
      <top style="thin"/>
      <bottom style="thin"/>
    </border>
    <border>
      <left>
        <color indexed="63"/>
      </left>
      <right style="thin"/>
      <top style="thin"/>
      <bottom style="thin"/>
    </border>
    <border>
      <left style="thin"/>
      <right>
        <color indexed="63"/>
      </right>
      <top style="medium"/>
      <bottom style="thin"/>
    </border>
    <border>
      <left style="thin"/>
      <right style="medium"/>
      <top>
        <color indexed="63"/>
      </top>
      <bottom style="thin"/>
    </border>
    <border>
      <left style="thin"/>
      <right style="thin"/>
      <top style="medium"/>
      <bottom style="thin"/>
    </border>
    <border>
      <left>
        <color indexed="63"/>
      </left>
      <right>
        <color indexed="63"/>
      </right>
      <top style="thin"/>
      <bottom style="thin"/>
    </border>
    <border>
      <left>
        <color indexed="63"/>
      </left>
      <right style="medium"/>
      <top style="medium"/>
      <bottom style="thin"/>
    </border>
    <border>
      <left style="medium"/>
      <right>
        <color indexed="63"/>
      </right>
      <top style="medium"/>
      <bottom style="medium"/>
    </border>
    <border>
      <left>
        <color indexed="63"/>
      </left>
      <right style="thin"/>
      <top style="medium"/>
      <bottom style="medium"/>
    </border>
    <border>
      <left style="medium"/>
      <right style="medium"/>
      <top>
        <color indexed="63"/>
      </top>
      <bottom style="thin"/>
    </border>
    <border>
      <left>
        <color indexed="63"/>
      </left>
      <right>
        <color indexed="63"/>
      </right>
      <top style="thin"/>
      <bottom style="medium"/>
    </border>
    <border>
      <left style="medium"/>
      <right>
        <color indexed="63"/>
      </right>
      <top style="thin"/>
      <bottom style="thin"/>
    </border>
    <border>
      <left style="medium"/>
      <right style="medium"/>
      <top style="thin"/>
      <bottom style="thin"/>
    </border>
    <border>
      <left style="thin"/>
      <right>
        <color indexed="63"/>
      </right>
      <top style="thin"/>
      <bottom style="hair"/>
    </border>
    <border>
      <left>
        <color indexed="63"/>
      </left>
      <right style="thin"/>
      <top style="thin"/>
      <bottom style="hair"/>
    </border>
    <border>
      <left style="medium"/>
      <right>
        <color indexed="63"/>
      </right>
      <top style="thin"/>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5" borderId="0" applyNumberFormat="0" applyBorder="0" applyAlignment="0" applyProtection="0"/>
    <xf numFmtId="0" fontId="31" fillId="8" borderId="0" applyNumberFormat="0" applyBorder="0" applyAlignment="0" applyProtection="0"/>
    <xf numFmtId="0" fontId="31" fillId="11" borderId="0" applyNumberFormat="0" applyBorder="0" applyAlignment="0" applyProtection="0"/>
    <xf numFmtId="0" fontId="32" fillId="12"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9" borderId="0" applyNumberFormat="0" applyBorder="0" applyAlignment="0" applyProtection="0"/>
    <xf numFmtId="0" fontId="33" fillId="0" borderId="0" applyNumberFormat="0" applyFill="0" applyBorder="0" applyAlignment="0" applyProtection="0"/>
    <xf numFmtId="0" fontId="34" fillId="20" borderId="1" applyNumberFormat="0" applyAlignment="0" applyProtection="0"/>
    <xf numFmtId="0" fontId="35" fillId="21"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2" borderId="2" applyNumberFormat="0" applyFont="0" applyAlignment="0" applyProtection="0"/>
    <xf numFmtId="0" fontId="36" fillId="0" borderId="3" applyNumberFormat="0" applyFill="0" applyAlignment="0" applyProtection="0"/>
    <xf numFmtId="0" fontId="37" fillId="3" borderId="0" applyNumberFormat="0" applyBorder="0" applyAlignment="0" applyProtection="0"/>
    <xf numFmtId="0" fontId="38" fillId="23"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23"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7" borderId="4" applyNumberFormat="0" applyAlignment="0" applyProtection="0"/>
    <xf numFmtId="0" fontId="24" fillId="0" borderId="0">
      <alignment/>
      <protection/>
    </xf>
    <xf numFmtId="0" fontId="1" fillId="0" borderId="0">
      <alignment/>
      <protection/>
    </xf>
    <xf numFmtId="0" fontId="14" fillId="0" borderId="0" applyNumberFormat="0" applyFill="0" applyBorder="0" applyAlignment="0" applyProtection="0"/>
    <xf numFmtId="0" fontId="47" fillId="4" borderId="0" applyNumberFormat="0" applyBorder="0" applyAlignment="0" applyProtection="0"/>
  </cellStyleXfs>
  <cellXfs count="723">
    <xf numFmtId="0" fontId="0" fillId="0" borderId="0" xfId="0" applyAlignment="1">
      <alignment/>
    </xf>
    <xf numFmtId="0" fontId="3" fillId="0" borderId="0" xfId="63" applyFont="1" applyAlignment="1">
      <alignment horizontal="left" vertical="center"/>
      <protection/>
    </xf>
    <xf numFmtId="0" fontId="4" fillId="0" borderId="0" xfId="63" applyFont="1" applyAlignment="1">
      <alignment horizontal="left" vertical="center"/>
      <protection/>
    </xf>
    <xf numFmtId="38" fontId="4" fillId="0" borderId="0" xfId="49" applyFont="1" applyAlignment="1">
      <alignment horizontal="left" vertical="center"/>
    </xf>
    <xf numFmtId="38" fontId="4" fillId="0" borderId="0" xfId="49" applyFont="1" applyAlignment="1">
      <alignment horizontal="right" vertical="center"/>
    </xf>
    <xf numFmtId="179" fontId="1" fillId="0" borderId="0" xfId="49" applyNumberFormat="1" applyFont="1" applyAlignment="1">
      <alignment horizontal="right" vertical="center"/>
    </xf>
    <xf numFmtId="0" fontId="1" fillId="0" borderId="0" xfId="63" applyFont="1" applyAlignment="1">
      <alignment horizontal="center" vertical="center"/>
      <protection/>
    </xf>
    <xf numFmtId="0" fontId="5" fillId="0" borderId="0" xfId="63" applyFont="1" applyAlignment="1">
      <alignment horizontal="left" vertical="center"/>
      <protection/>
    </xf>
    <xf numFmtId="38" fontId="5" fillId="0" borderId="0" xfId="49" applyFont="1" applyAlignment="1">
      <alignment horizontal="left" vertical="center"/>
    </xf>
    <xf numFmtId="38" fontId="5" fillId="0" borderId="0" xfId="49" applyFont="1" applyAlignment="1">
      <alignment horizontal="right" vertical="center"/>
    </xf>
    <xf numFmtId="179" fontId="6" fillId="0" borderId="0" xfId="49" applyNumberFormat="1" applyFont="1" applyAlignment="1">
      <alignment horizontal="right" vertical="center"/>
    </xf>
    <xf numFmtId="179" fontId="6" fillId="0" borderId="0" xfId="49" applyNumberFormat="1" applyFont="1" applyAlignment="1">
      <alignment horizontal="left" vertical="center"/>
    </xf>
    <xf numFmtId="0" fontId="6" fillId="0" borderId="0" xfId="63" applyFont="1" applyAlignment="1">
      <alignment horizontal="center" vertical="center"/>
      <protection/>
    </xf>
    <xf numFmtId="0" fontId="8" fillId="0" borderId="0" xfId="63" applyFont="1" applyAlignment="1">
      <alignment horizontal="center" vertical="center"/>
      <protection/>
    </xf>
    <xf numFmtId="0" fontId="10" fillId="0" borderId="0" xfId="63" applyFont="1" applyAlignment="1">
      <alignment horizontal="center" vertical="center"/>
      <protection/>
    </xf>
    <xf numFmtId="38" fontId="6" fillId="0" borderId="0" xfId="49" applyFont="1" applyAlignment="1">
      <alignment horizontal="right" vertical="center"/>
    </xf>
    <xf numFmtId="38" fontId="6" fillId="0" borderId="0" xfId="49" applyFont="1" applyAlignment="1">
      <alignment horizontal="center" vertical="center"/>
    </xf>
    <xf numFmtId="0" fontId="0" fillId="0" borderId="10" xfId="0" applyBorder="1" applyAlignment="1">
      <alignment/>
    </xf>
    <xf numFmtId="0" fontId="0" fillId="0" borderId="10" xfId="0" applyBorder="1" applyAlignment="1">
      <alignment horizontal="center"/>
    </xf>
    <xf numFmtId="176" fontId="0" fillId="0" borderId="10" xfId="0" applyNumberFormat="1" applyBorder="1" applyAlignment="1">
      <alignment/>
    </xf>
    <xf numFmtId="176" fontId="0" fillId="0" borderId="10" xfId="0" applyNumberFormat="1" applyFont="1" applyBorder="1" applyAlignment="1">
      <alignment/>
    </xf>
    <xf numFmtId="38" fontId="6" fillId="0" borderId="0" xfId="49" applyFont="1" applyAlignment="1">
      <alignment horizontal="left" vertical="center"/>
    </xf>
    <xf numFmtId="0" fontId="15" fillId="0" borderId="0" xfId="0" applyFont="1" applyBorder="1" applyAlignment="1">
      <alignment horizontal="left" vertical="center"/>
    </xf>
    <xf numFmtId="0" fontId="4" fillId="0" borderId="0" xfId="0" applyFont="1" applyBorder="1" applyAlignment="1">
      <alignment horizontal="center" vertical="center"/>
    </xf>
    <xf numFmtId="0" fontId="1" fillId="0" borderId="0" xfId="0" applyFont="1" applyAlignment="1">
      <alignment vertical="center"/>
    </xf>
    <xf numFmtId="180" fontId="4" fillId="0" borderId="0" xfId="0" applyNumberFormat="1" applyFont="1" applyBorder="1" applyAlignment="1">
      <alignment horizontal="center" vertical="center"/>
    </xf>
    <xf numFmtId="0" fontId="4" fillId="0" borderId="0" xfId="0" applyFont="1" applyBorder="1" applyAlignment="1">
      <alignment horizontal="left" vertical="center"/>
    </xf>
    <xf numFmtId="0" fontId="6" fillId="0" borderId="0" xfId="0" applyFont="1" applyBorder="1" applyAlignment="1">
      <alignment horizontal="center" vertical="center" wrapText="1"/>
    </xf>
    <xf numFmtId="180" fontId="6" fillId="0" borderId="0" xfId="0" applyNumberFormat="1" applyFont="1" applyBorder="1" applyAlignment="1">
      <alignment horizontal="center" vertical="center" wrapText="1"/>
    </xf>
    <xf numFmtId="0" fontId="6" fillId="0" borderId="0" xfId="0" applyFont="1" applyBorder="1" applyAlignment="1">
      <alignment vertical="center"/>
    </xf>
    <xf numFmtId="180" fontId="6" fillId="0" borderId="0" xfId="0" applyNumberFormat="1" applyFont="1" applyBorder="1" applyAlignment="1">
      <alignment vertical="center"/>
    </xf>
    <xf numFmtId="0" fontId="7" fillId="0" borderId="0" xfId="0" applyFont="1" applyFill="1" applyBorder="1" applyAlignment="1">
      <alignment vertical="center"/>
    </xf>
    <xf numFmtId="0" fontId="6" fillId="0" borderId="0" xfId="0" applyFont="1" applyFill="1" applyBorder="1" applyAlignment="1" quotePrefix="1">
      <alignment horizontal="left" vertical="center"/>
    </xf>
    <xf numFmtId="0" fontId="6" fillId="0" borderId="0" xfId="0" applyFont="1" applyFill="1" applyBorder="1" applyAlignment="1">
      <alignment vertical="center"/>
    </xf>
    <xf numFmtId="180" fontId="6" fillId="0" borderId="0" xfId="0" applyNumberFormat="1" applyFont="1" applyFill="1" applyBorder="1" applyAlignment="1">
      <alignment vertical="center"/>
    </xf>
    <xf numFmtId="0" fontId="6" fillId="0" borderId="0" xfId="0" applyFont="1" applyFill="1" applyBorder="1" applyAlignment="1">
      <alignment horizontal="left" vertical="center"/>
    </xf>
    <xf numFmtId="180" fontId="6" fillId="0" borderId="0" xfId="0" applyNumberFormat="1" applyFont="1" applyFill="1" applyAlignment="1">
      <alignment vertical="center"/>
    </xf>
    <xf numFmtId="0" fontId="17" fillId="0" borderId="0" xfId="0" applyFont="1" applyFill="1" applyBorder="1" applyAlignment="1">
      <alignment vertical="center"/>
    </xf>
    <xf numFmtId="181" fontId="6" fillId="0" borderId="0" xfId="0" applyNumberFormat="1" applyFont="1" applyFill="1" applyBorder="1" applyAlignment="1">
      <alignment vertical="center"/>
    </xf>
    <xf numFmtId="177" fontId="6" fillId="0" borderId="0" xfId="0" applyNumberFormat="1" applyFont="1" applyFill="1" applyBorder="1" applyAlignment="1">
      <alignment vertical="center"/>
    </xf>
    <xf numFmtId="0" fontId="6" fillId="0" borderId="0" xfId="0" applyFont="1" applyFill="1" applyAlignment="1">
      <alignment vertical="center"/>
    </xf>
    <xf numFmtId="0" fontId="7" fillId="0" borderId="0" xfId="0" applyFont="1" applyBorder="1" applyAlignment="1" quotePrefix="1">
      <alignment horizontal="left" vertical="center"/>
    </xf>
    <xf numFmtId="180" fontId="6" fillId="0" borderId="0" xfId="0" applyNumberFormat="1" applyFont="1" applyAlignment="1">
      <alignment vertical="center"/>
    </xf>
    <xf numFmtId="0" fontId="17" fillId="0" borderId="0" xfId="0" applyFont="1" applyFill="1" applyBorder="1" applyAlignment="1" quotePrefix="1">
      <alignment horizontal="left" vertical="center"/>
    </xf>
    <xf numFmtId="0" fontId="6" fillId="0" borderId="0" xfId="0" applyFont="1" applyAlignment="1">
      <alignment vertical="center"/>
    </xf>
    <xf numFmtId="0" fontId="6" fillId="0" borderId="11" xfId="0" applyFont="1" applyFill="1" applyBorder="1" applyAlignment="1">
      <alignment horizontal="center" vertical="center" wrapText="1"/>
    </xf>
    <xf numFmtId="0" fontId="6" fillId="0" borderId="0" xfId="0" applyFont="1" applyFill="1" applyAlignment="1">
      <alignment horizontal="center" vertical="center"/>
    </xf>
    <xf numFmtId="0" fontId="6" fillId="0" borderId="0" xfId="0" applyFont="1" applyAlignment="1">
      <alignment horizontal="center" vertical="center"/>
    </xf>
    <xf numFmtId="0" fontId="6" fillId="0" borderId="12" xfId="0" applyFont="1" applyFill="1" applyBorder="1" applyAlignment="1">
      <alignment horizontal="center" vertical="center" wrapText="1"/>
    </xf>
    <xf numFmtId="0" fontId="6" fillId="0" borderId="0" xfId="0" applyFont="1" applyFill="1" applyAlignment="1">
      <alignment horizontal="distributed" vertical="center"/>
    </xf>
    <xf numFmtId="0" fontId="6" fillId="0" borderId="0" xfId="0" applyFont="1" applyAlignment="1">
      <alignment horizontal="distributed" vertical="center"/>
    </xf>
    <xf numFmtId="0" fontId="6" fillId="0" borderId="13" xfId="0" applyFont="1" applyFill="1" applyBorder="1" applyAlignment="1">
      <alignment horizontal="distributed" vertical="center"/>
    </xf>
    <xf numFmtId="180" fontId="6" fillId="0" borderId="13" xfId="0" applyNumberFormat="1" applyFont="1" applyFill="1" applyBorder="1" applyAlignment="1">
      <alignment horizontal="distributed" vertical="center"/>
    </xf>
    <xf numFmtId="0" fontId="6" fillId="0" borderId="14" xfId="0" applyFont="1" applyFill="1" applyBorder="1" applyAlignment="1">
      <alignment horizontal="distributed" vertical="center" wrapText="1"/>
    </xf>
    <xf numFmtId="181" fontId="6" fillId="0" borderId="13" xfId="0" applyNumberFormat="1" applyFont="1" applyFill="1" applyBorder="1" applyAlignment="1">
      <alignment horizontal="distributed" vertical="center"/>
    </xf>
    <xf numFmtId="177" fontId="6" fillId="0" borderId="13" xfId="0" applyNumberFormat="1" applyFont="1" applyFill="1" applyBorder="1" applyAlignment="1">
      <alignment horizontal="distributed" vertical="center"/>
    </xf>
    <xf numFmtId="0" fontId="6" fillId="0" borderId="0" xfId="0" applyFont="1" applyFill="1" applyBorder="1" applyAlignment="1">
      <alignment horizontal="distributed" vertical="center"/>
    </xf>
    <xf numFmtId="0" fontId="6" fillId="0" borderId="0" xfId="0" applyFont="1" applyBorder="1" applyAlignment="1">
      <alignment horizontal="distributed" vertical="center"/>
    </xf>
    <xf numFmtId="180" fontId="6" fillId="0" borderId="15" xfId="0" applyNumberFormat="1" applyFont="1" applyFill="1" applyBorder="1" applyAlignment="1">
      <alignment vertical="center"/>
    </xf>
    <xf numFmtId="180" fontId="6" fillId="0" borderId="16" xfId="0" applyNumberFormat="1" applyFont="1" applyFill="1" applyBorder="1" applyAlignment="1">
      <alignment vertical="center"/>
    </xf>
    <xf numFmtId="181" fontId="6" fillId="0" borderId="15" xfId="0" applyNumberFormat="1" applyFont="1" applyFill="1" applyBorder="1" applyAlignment="1">
      <alignment vertical="center"/>
    </xf>
    <xf numFmtId="180" fontId="10" fillId="0" borderId="15" xfId="0" applyNumberFormat="1" applyFont="1" applyFill="1" applyBorder="1" applyAlignment="1">
      <alignment vertical="center"/>
    </xf>
    <xf numFmtId="181" fontId="10" fillId="0" borderId="15" xfId="0" applyNumberFormat="1" applyFont="1" applyFill="1" applyBorder="1" applyAlignment="1">
      <alignment vertical="center"/>
    </xf>
    <xf numFmtId="198" fontId="10" fillId="0" borderId="15" xfId="0" applyNumberFormat="1" applyFont="1" applyFill="1" applyBorder="1" applyAlignment="1">
      <alignment vertical="center"/>
    </xf>
    <xf numFmtId="180" fontId="5" fillId="0" borderId="17" xfId="0" applyNumberFormat="1" applyFont="1" applyFill="1" applyBorder="1" applyAlignment="1">
      <alignment vertical="center"/>
    </xf>
    <xf numFmtId="181" fontId="10" fillId="0" borderId="15" xfId="0" applyNumberFormat="1" applyFont="1" applyFill="1" applyBorder="1" applyAlignment="1">
      <alignment horizontal="right" vertical="center"/>
    </xf>
    <xf numFmtId="0" fontId="10" fillId="0" borderId="0" xfId="0" applyFont="1" applyFill="1" applyAlignment="1">
      <alignment vertical="center"/>
    </xf>
    <xf numFmtId="0" fontId="10" fillId="0" borderId="0" xfId="0" applyFont="1" applyAlignment="1">
      <alignment vertical="center"/>
    </xf>
    <xf numFmtId="0" fontId="10" fillId="0" borderId="18" xfId="0" applyFont="1" applyFill="1" applyBorder="1" applyAlignment="1">
      <alignment horizontal="left" vertical="center"/>
    </xf>
    <xf numFmtId="0" fontId="10" fillId="0" borderId="19" xfId="0" applyFont="1" applyFill="1" applyBorder="1" applyAlignment="1">
      <alignment vertical="center"/>
    </xf>
    <xf numFmtId="198" fontId="10" fillId="0" borderId="20" xfId="0" applyNumberFormat="1" applyFont="1" applyFill="1" applyBorder="1" applyAlignment="1">
      <alignment vertical="center"/>
    </xf>
    <xf numFmtId="180" fontId="5" fillId="0" borderId="15" xfId="0" applyNumberFormat="1" applyFont="1" applyFill="1" applyBorder="1" applyAlignment="1">
      <alignment vertical="center"/>
    </xf>
    <xf numFmtId="180" fontId="10" fillId="0" borderId="20" xfId="0" applyNumberFormat="1" applyFont="1" applyFill="1" applyBorder="1" applyAlignment="1">
      <alignment vertical="center"/>
    </xf>
    <xf numFmtId="181" fontId="10" fillId="0" borderId="20" xfId="0" applyNumberFormat="1" applyFont="1" applyFill="1" applyBorder="1" applyAlignment="1">
      <alignment vertical="center"/>
    </xf>
    <xf numFmtId="180" fontId="10" fillId="0" borderId="21" xfId="0" applyNumberFormat="1" applyFont="1" applyFill="1" applyBorder="1" applyAlignment="1">
      <alignment vertical="center"/>
    </xf>
    <xf numFmtId="181" fontId="10" fillId="0" borderId="20" xfId="0" applyNumberFormat="1" applyFont="1" applyFill="1" applyBorder="1" applyAlignment="1">
      <alignment horizontal="right" vertical="center"/>
    </xf>
    <xf numFmtId="180" fontId="10" fillId="0" borderId="16" xfId="0" applyNumberFormat="1" applyFont="1" applyFill="1" applyBorder="1" applyAlignment="1">
      <alignment vertical="center"/>
    </xf>
    <xf numFmtId="0" fontId="6" fillId="0" borderId="22" xfId="0" applyFont="1" applyFill="1" applyBorder="1" applyAlignment="1">
      <alignment vertical="center"/>
    </xf>
    <xf numFmtId="198" fontId="6" fillId="0" borderId="15" xfId="0" applyNumberFormat="1" applyFont="1" applyFill="1" applyBorder="1" applyAlignment="1">
      <alignment vertical="center"/>
    </xf>
    <xf numFmtId="180" fontId="12" fillId="0" borderId="15" xfId="0" applyNumberFormat="1" applyFont="1" applyFill="1" applyBorder="1" applyAlignment="1">
      <alignment vertical="center"/>
    </xf>
    <xf numFmtId="0" fontId="6" fillId="0" borderId="23" xfId="0" applyFont="1" applyFill="1" applyBorder="1" applyAlignment="1">
      <alignment vertical="center"/>
    </xf>
    <xf numFmtId="0" fontId="10" fillId="0" borderId="22" xfId="0" applyFont="1" applyFill="1" applyBorder="1" applyAlignment="1">
      <alignment horizontal="left" vertical="center"/>
    </xf>
    <xf numFmtId="0" fontId="10" fillId="0" borderId="23" xfId="0" applyFont="1" applyFill="1" applyBorder="1" applyAlignment="1">
      <alignment vertical="center"/>
    </xf>
    <xf numFmtId="0" fontId="10" fillId="0" borderId="0" xfId="0" applyFont="1" applyFill="1" applyBorder="1" applyAlignment="1">
      <alignment vertical="center"/>
    </xf>
    <xf numFmtId="0" fontId="10" fillId="0" borderId="0" xfId="0" applyFont="1" applyBorder="1" applyAlignment="1">
      <alignment vertical="center"/>
    </xf>
    <xf numFmtId="180" fontId="10" fillId="0" borderId="15" xfId="0" applyNumberFormat="1" applyFont="1" applyFill="1" applyBorder="1" applyAlignment="1">
      <alignment horizontal="right" vertical="center"/>
    </xf>
    <xf numFmtId="0" fontId="6" fillId="0" borderId="24" xfId="0" applyFont="1" applyFill="1" applyBorder="1" applyAlignment="1">
      <alignment horizontal="left" vertical="center"/>
    </xf>
    <xf numFmtId="0" fontId="6" fillId="0" borderId="25" xfId="0" applyFont="1" applyFill="1" applyBorder="1" applyAlignment="1">
      <alignment vertical="center"/>
    </xf>
    <xf numFmtId="180" fontId="6" fillId="0" borderId="26" xfId="0" applyNumberFormat="1" applyFont="1" applyFill="1" applyBorder="1" applyAlignment="1">
      <alignment vertical="center"/>
    </xf>
    <xf numFmtId="181" fontId="6" fillId="0" borderId="26" xfId="0" applyNumberFormat="1" applyFont="1" applyFill="1" applyBorder="1" applyAlignment="1">
      <alignment vertical="center"/>
    </xf>
    <xf numFmtId="0" fontId="6"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0" fontId="16" fillId="0" borderId="0" xfId="0" applyFont="1" applyFill="1" applyBorder="1" applyAlignment="1">
      <alignment horizontal="left" vertical="center"/>
    </xf>
    <xf numFmtId="0" fontId="4" fillId="0" borderId="0" xfId="0" applyFont="1" applyFill="1" applyBorder="1" applyAlignment="1">
      <alignment horizontal="center" vertical="center"/>
    </xf>
    <xf numFmtId="0" fontId="6" fillId="0" borderId="0" xfId="0" applyFont="1" applyFill="1" applyAlignment="1">
      <alignment/>
    </xf>
    <xf numFmtId="183" fontId="4" fillId="0" borderId="0" xfId="0" applyNumberFormat="1" applyFont="1" applyFill="1" applyBorder="1" applyAlignment="1">
      <alignment horizontal="center" vertical="center"/>
    </xf>
    <xf numFmtId="183" fontId="6" fillId="0" borderId="0" xfId="0" applyNumberFormat="1" applyFont="1" applyFill="1" applyBorder="1" applyAlignment="1">
      <alignment horizontal="center" vertical="center"/>
    </xf>
    <xf numFmtId="183" fontId="6" fillId="0" borderId="0" xfId="0" applyNumberFormat="1" applyFont="1" applyFill="1" applyAlignment="1">
      <alignment/>
    </xf>
    <xf numFmtId="183" fontId="6" fillId="0" borderId="0" xfId="49" applyNumberFormat="1" applyFont="1" applyFill="1" applyAlignment="1">
      <alignment/>
    </xf>
    <xf numFmtId="0" fontId="4" fillId="0" borderId="0" xfId="0" applyFont="1" applyFill="1" applyBorder="1" applyAlignment="1">
      <alignment horizontal="left" vertical="center"/>
    </xf>
    <xf numFmtId="0" fontId="7" fillId="0" borderId="0" xfId="0" applyFont="1" applyFill="1" applyAlignment="1">
      <alignment/>
    </xf>
    <xf numFmtId="0" fontId="6" fillId="0" borderId="0" xfId="0" applyFont="1" applyAlignment="1">
      <alignment/>
    </xf>
    <xf numFmtId="183" fontId="6" fillId="0" borderId="0" xfId="0" applyNumberFormat="1" applyFont="1" applyFill="1" applyBorder="1" applyAlignment="1">
      <alignment horizontal="center" vertical="center" wrapText="1"/>
    </xf>
    <xf numFmtId="183" fontId="6" fillId="0" borderId="27" xfId="0" applyNumberFormat="1" applyFont="1" applyFill="1" applyBorder="1" applyAlignment="1">
      <alignment horizontal="center" vertical="center" wrapText="1"/>
    </xf>
    <xf numFmtId="0" fontId="6" fillId="0" borderId="0" xfId="0" applyFont="1" applyFill="1" applyBorder="1" applyAlignment="1">
      <alignment/>
    </xf>
    <xf numFmtId="183" fontId="6" fillId="0" borderId="0" xfId="0" applyNumberFormat="1" applyFont="1" applyFill="1" applyBorder="1" applyAlignment="1">
      <alignment/>
    </xf>
    <xf numFmtId="0" fontId="6" fillId="0" borderId="27" xfId="0" applyFont="1" applyFill="1" applyBorder="1" applyAlignment="1">
      <alignment/>
    </xf>
    <xf numFmtId="183" fontId="6" fillId="0" borderId="27" xfId="0" applyNumberFormat="1" applyFont="1" applyFill="1" applyBorder="1" applyAlignment="1">
      <alignment/>
    </xf>
    <xf numFmtId="183" fontId="6" fillId="0" borderId="27" xfId="49" applyNumberFormat="1" applyFont="1" applyFill="1" applyBorder="1" applyAlignment="1">
      <alignment/>
    </xf>
    <xf numFmtId="0" fontId="6" fillId="0" borderId="27" xfId="0" applyFont="1" applyFill="1" applyBorder="1" applyAlignment="1">
      <alignment horizontal="right"/>
    </xf>
    <xf numFmtId="0" fontId="6" fillId="0" borderId="28" xfId="0" applyFont="1" applyFill="1" applyBorder="1" applyAlignment="1">
      <alignment horizontal="distributed" vertical="center" wrapText="1"/>
    </xf>
    <xf numFmtId="0" fontId="7" fillId="0" borderId="0" xfId="0" applyFont="1" applyFill="1" applyAlignment="1">
      <alignment horizontal="distributed" vertical="center" wrapText="1"/>
    </xf>
    <xf numFmtId="0" fontId="6" fillId="0" borderId="0" xfId="0" applyFont="1" applyBorder="1" applyAlignment="1">
      <alignment horizontal="distributed" vertical="center" wrapText="1"/>
    </xf>
    <xf numFmtId="0" fontId="6" fillId="0" borderId="0" xfId="0" applyFont="1" applyAlignment="1">
      <alignment horizontal="distributed" vertical="center" wrapText="1"/>
    </xf>
    <xf numFmtId="0" fontId="6" fillId="0" borderId="13" xfId="0" applyFont="1" applyFill="1" applyBorder="1" applyAlignment="1">
      <alignment horizontal="distributed" vertical="center" wrapText="1"/>
    </xf>
    <xf numFmtId="183" fontId="6" fillId="0" borderId="13" xfId="0" applyNumberFormat="1" applyFont="1" applyFill="1" applyBorder="1" applyAlignment="1">
      <alignment horizontal="distributed" vertical="center" wrapText="1"/>
    </xf>
    <xf numFmtId="183" fontId="6" fillId="0" borderId="13" xfId="49" applyNumberFormat="1" applyFont="1" applyFill="1" applyBorder="1" applyAlignment="1">
      <alignment horizontal="distributed" vertical="center" wrapText="1"/>
    </xf>
    <xf numFmtId="0" fontId="6" fillId="0" borderId="29" xfId="0" applyFont="1" applyFill="1" applyBorder="1" applyAlignment="1">
      <alignment horizontal="distributed" vertical="center" wrapText="1"/>
    </xf>
    <xf numFmtId="183" fontId="6" fillId="0" borderId="30" xfId="49" applyNumberFormat="1" applyFont="1" applyFill="1" applyBorder="1" applyAlignment="1">
      <alignment horizontal="distributed" vertical="center" wrapText="1"/>
    </xf>
    <xf numFmtId="183" fontId="6" fillId="0" borderId="31" xfId="49" applyNumberFormat="1" applyFont="1" applyFill="1" applyBorder="1" applyAlignment="1">
      <alignment horizontal="distributed" vertical="center" wrapText="1"/>
    </xf>
    <xf numFmtId="0" fontId="6" fillId="0" borderId="32" xfId="0" applyFont="1" applyFill="1" applyBorder="1" applyAlignment="1">
      <alignment horizontal="distributed" vertical="center" wrapText="1"/>
    </xf>
    <xf numFmtId="0" fontId="6" fillId="0" borderId="23" xfId="0" applyFont="1" applyBorder="1" applyAlignment="1">
      <alignment horizontal="distributed" vertical="center" wrapText="1"/>
    </xf>
    <xf numFmtId="0" fontId="6" fillId="0" borderId="15" xfId="0" applyFont="1" applyBorder="1" applyAlignment="1">
      <alignment horizontal="distributed" vertical="center" wrapText="1"/>
    </xf>
    <xf numFmtId="180" fontId="6" fillId="0" borderId="15" xfId="0" applyNumberFormat="1" applyFont="1" applyFill="1" applyBorder="1" applyAlignment="1">
      <alignment/>
    </xf>
    <xf numFmtId="180" fontId="6" fillId="0" borderId="15" xfId="49" applyNumberFormat="1" applyFont="1" applyFill="1" applyBorder="1" applyAlignment="1">
      <alignment/>
    </xf>
    <xf numFmtId="180" fontId="6" fillId="0" borderId="23" xfId="0" applyNumberFormat="1" applyFont="1" applyFill="1" applyBorder="1" applyAlignment="1">
      <alignment/>
    </xf>
    <xf numFmtId="180" fontId="6" fillId="0" borderId="16" xfId="49" applyNumberFormat="1" applyFont="1" applyFill="1" applyBorder="1" applyAlignment="1">
      <alignment/>
    </xf>
    <xf numFmtId="180" fontId="6" fillId="0" borderId="12" xfId="49" applyNumberFormat="1" applyFont="1" applyFill="1" applyBorder="1" applyAlignment="1">
      <alignment/>
    </xf>
    <xf numFmtId="0" fontId="6" fillId="0" borderId="0" xfId="0" applyFont="1" applyBorder="1" applyAlignment="1">
      <alignment/>
    </xf>
    <xf numFmtId="180" fontId="10" fillId="0" borderId="15" xfId="0" applyNumberFormat="1" applyFont="1" applyFill="1" applyBorder="1" applyAlignment="1">
      <alignment/>
    </xf>
    <xf numFmtId="180" fontId="10" fillId="0" borderId="23" xfId="0" applyNumberFormat="1" applyFont="1" applyFill="1" applyBorder="1" applyAlignment="1">
      <alignment/>
    </xf>
    <xf numFmtId="0" fontId="10" fillId="0" borderId="0" xfId="0" applyFont="1" applyFill="1" applyAlignment="1">
      <alignment/>
    </xf>
    <xf numFmtId="0" fontId="10" fillId="0" borderId="0" xfId="0" applyFont="1" applyBorder="1" applyAlignment="1">
      <alignment/>
    </xf>
    <xf numFmtId="0" fontId="10" fillId="0" borderId="0" xfId="0" applyFont="1" applyAlignment="1">
      <alignment/>
    </xf>
    <xf numFmtId="0" fontId="10" fillId="0" borderId="33" xfId="0" applyFont="1" applyFill="1" applyBorder="1" applyAlignment="1">
      <alignment horizontal="left" vertical="center"/>
    </xf>
    <xf numFmtId="0" fontId="10" fillId="0" borderId="34" xfId="0" applyFont="1" applyFill="1" applyBorder="1" applyAlignment="1">
      <alignment vertical="center"/>
    </xf>
    <xf numFmtId="180" fontId="10" fillId="0" borderId="35" xfId="0" applyNumberFormat="1" applyFont="1" applyFill="1" applyBorder="1" applyAlignment="1">
      <alignment/>
    </xf>
    <xf numFmtId="180" fontId="10" fillId="0" borderId="36" xfId="0" applyNumberFormat="1" applyFont="1" applyFill="1" applyBorder="1" applyAlignment="1">
      <alignment/>
    </xf>
    <xf numFmtId="180" fontId="10" fillId="0" borderId="0" xfId="0" applyNumberFormat="1" applyFont="1" applyFill="1" applyBorder="1" applyAlignment="1">
      <alignment/>
    </xf>
    <xf numFmtId="180" fontId="6" fillId="0" borderId="15" xfId="49" applyNumberFormat="1" applyFont="1" applyFill="1" applyBorder="1" applyAlignment="1" applyProtection="1">
      <alignment shrinkToFit="1"/>
      <protection locked="0"/>
    </xf>
    <xf numFmtId="180" fontId="6" fillId="0" borderId="0" xfId="0" applyNumberFormat="1" applyFont="1" applyFill="1" applyBorder="1" applyAlignment="1">
      <alignment/>
    </xf>
    <xf numFmtId="180" fontId="6" fillId="0" borderId="15" xfId="0" applyNumberFormat="1" applyFont="1" applyFill="1" applyBorder="1" applyAlignment="1">
      <alignment horizontal="right"/>
    </xf>
    <xf numFmtId="180" fontId="6" fillId="0" borderId="16" xfId="0" applyNumberFormat="1" applyFont="1" applyFill="1" applyBorder="1" applyAlignment="1">
      <alignment/>
    </xf>
    <xf numFmtId="180" fontId="6" fillId="0" borderId="12" xfId="0" applyNumberFormat="1" applyFont="1" applyFill="1" applyBorder="1" applyAlignment="1">
      <alignment/>
    </xf>
    <xf numFmtId="0" fontId="7" fillId="0" borderId="0" xfId="0" applyFont="1" applyFill="1" applyBorder="1" applyAlignment="1">
      <alignment/>
    </xf>
    <xf numFmtId="0" fontId="6" fillId="0" borderId="24" xfId="0" applyFont="1" applyFill="1" applyBorder="1" applyAlignment="1">
      <alignment vertical="center"/>
    </xf>
    <xf numFmtId="180" fontId="10" fillId="0" borderId="26" xfId="0" applyNumberFormat="1" applyFont="1" applyFill="1" applyBorder="1" applyAlignment="1">
      <alignment/>
    </xf>
    <xf numFmtId="180" fontId="6" fillId="0" borderId="26" xfId="49" applyNumberFormat="1" applyFont="1" applyFill="1" applyBorder="1" applyAlignment="1">
      <alignment/>
    </xf>
    <xf numFmtId="180" fontId="6" fillId="0" borderId="26" xfId="0" applyNumberFormat="1" applyFont="1" applyFill="1" applyBorder="1" applyAlignment="1">
      <alignment/>
    </xf>
    <xf numFmtId="180" fontId="6" fillId="0" borderId="37" xfId="0" applyNumberFormat="1" applyFont="1" applyFill="1" applyBorder="1" applyAlignment="1">
      <alignment/>
    </xf>
    <xf numFmtId="180" fontId="6" fillId="0" borderId="14" xfId="0" applyNumberFormat="1" applyFont="1" applyFill="1" applyBorder="1" applyAlignment="1">
      <alignment/>
    </xf>
    <xf numFmtId="180" fontId="10" fillId="0" borderId="16" xfId="0" applyNumberFormat="1" applyFont="1" applyFill="1" applyBorder="1" applyAlignment="1">
      <alignment/>
    </xf>
    <xf numFmtId="180" fontId="10" fillId="0" borderId="12" xfId="0" applyNumberFormat="1" applyFont="1" applyFill="1" applyBorder="1" applyAlignment="1">
      <alignment/>
    </xf>
    <xf numFmtId="0" fontId="10" fillId="0" borderId="0" xfId="0" applyFont="1" applyFill="1" applyBorder="1" applyAlignment="1">
      <alignment/>
    </xf>
    <xf numFmtId="180" fontId="6" fillId="0" borderId="15" xfId="49" applyNumberFormat="1" applyFont="1" applyFill="1" applyBorder="1" applyAlignment="1" applyProtection="1">
      <alignment shrinkToFit="1"/>
      <protection/>
    </xf>
    <xf numFmtId="180" fontId="6" fillId="0" borderId="37" xfId="49" applyNumberFormat="1" applyFont="1" applyFill="1" applyBorder="1" applyAlignment="1">
      <alignment/>
    </xf>
    <xf numFmtId="180" fontId="6" fillId="0" borderId="14" xfId="49" applyNumberFormat="1" applyFont="1" applyFill="1" applyBorder="1" applyAlignment="1">
      <alignment/>
    </xf>
    <xf numFmtId="0" fontId="6" fillId="0" borderId="0" xfId="0" applyFont="1" applyFill="1" applyBorder="1" applyAlignment="1">
      <alignment/>
    </xf>
    <xf numFmtId="38" fontId="6" fillId="0" borderId="0" xfId="0" applyNumberFormat="1" applyFont="1" applyFill="1" applyBorder="1" applyAlignment="1">
      <alignment/>
    </xf>
    <xf numFmtId="38" fontId="6" fillId="0" borderId="0" xfId="49" applyFont="1" applyFill="1" applyBorder="1" applyAlignment="1">
      <alignment/>
    </xf>
    <xf numFmtId="183" fontId="6" fillId="0" borderId="0" xfId="49" applyNumberFormat="1" applyFont="1" applyFill="1" applyBorder="1" applyAlignment="1">
      <alignment/>
    </xf>
    <xf numFmtId="0" fontId="6" fillId="0" borderId="0" xfId="0" applyFont="1" applyBorder="1" applyAlignment="1">
      <alignment/>
    </xf>
    <xf numFmtId="183" fontId="6" fillId="0" borderId="0" xfId="0" applyNumberFormat="1" applyFont="1" applyBorder="1" applyAlignment="1">
      <alignment/>
    </xf>
    <xf numFmtId="183" fontId="6" fillId="0" borderId="0" xfId="49" applyNumberFormat="1" applyFont="1" applyBorder="1" applyAlignment="1">
      <alignment/>
    </xf>
    <xf numFmtId="0" fontId="7" fillId="0" borderId="0" xfId="0" applyFont="1" applyAlignment="1">
      <alignment/>
    </xf>
    <xf numFmtId="0" fontId="6" fillId="0" borderId="0" xfId="0" applyFont="1" applyAlignment="1">
      <alignment/>
    </xf>
    <xf numFmtId="183" fontId="6" fillId="0" borderId="0" xfId="0" applyNumberFormat="1" applyFont="1" applyAlignment="1">
      <alignment/>
    </xf>
    <xf numFmtId="183" fontId="6" fillId="0" borderId="0" xfId="49" applyNumberFormat="1" applyFont="1" applyAlignment="1">
      <alignment/>
    </xf>
    <xf numFmtId="38" fontId="6" fillId="0" borderId="10" xfId="49" applyFont="1" applyFill="1" applyBorder="1" applyAlignment="1">
      <alignment horizontal="center" vertical="center"/>
    </xf>
    <xf numFmtId="179" fontId="6" fillId="0" borderId="10" xfId="49" applyNumberFormat="1" applyFont="1" applyFill="1" applyBorder="1" applyAlignment="1">
      <alignment horizontal="center" vertical="center"/>
    </xf>
    <xf numFmtId="180" fontId="6" fillId="0" borderId="15" xfId="49" applyNumberFormat="1" applyFont="1" applyFill="1" applyBorder="1" applyAlignment="1">
      <alignment vertical="center"/>
    </xf>
    <xf numFmtId="181" fontId="6" fillId="0" borderId="15" xfId="49" applyNumberFormat="1" applyFont="1" applyFill="1" applyBorder="1" applyAlignment="1">
      <alignment horizontal="right" vertical="center"/>
    </xf>
    <xf numFmtId="181" fontId="6" fillId="0" borderId="12" xfId="49" applyNumberFormat="1" applyFont="1" applyFill="1" applyBorder="1" applyAlignment="1">
      <alignment horizontal="right" vertical="center"/>
    </xf>
    <xf numFmtId="0" fontId="6" fillId="0" borderId="23" xfId="63" applyFont="1" applyFill="1" applyBorder="1" applyAlignment="1">
      <alignment horizontal="distributed" vertical="center"/>
      <protection/>
    </xf>
    <xf numFmtId="0" fontId="6" fillId="0" borderId="22" xfId="63" applyFont="1" applyFill="1" applyBorder="1" applyAlignment="1">
      <alignment horizontal="center" vertical="center"/>
      <protection/>
    </xf>
    <xf numFmtId="0" fontId="6" fillId="0" borderId="24" xfId="63" applyFont="1" applyFill="1" applyBorder="1" applyAlignment="1">
      <alignment horizontal="center" vertical="center"/>
      <protection/>
    </xf>
    <xf numFmtId="0" fontId="6" fillId="0" borderId="25" xfId="63" applyFont="1" applyFill="1" applyBorder="1" applyAlignment="1">
      <alignment horizontal="distributed" vertical="center"/>
      <protection/>
    </xf>
    <xf numFmtId="181" fontId="6" fillId="0" borderId="26" xfId="49" applyNumberFormat="1" applyFont="1" applyFill="1" applyBorder="1" applyAlignment="1">
      <alignment horizontal="right" vertical="center"/>
    </xf>
    <xf numFmtId="181" fontId="6" fillId="0" borderId="14" xfId="49" applyNumberFormat="1" applyFont="1" applyFill="1" applyBorder="1" applyAlignment="1">
      <alignment horizontal="right" vertical="center"/>
    </xf>
    <xf numFmtId="181" fontId="6" fillId="0" borderId="15" xfId="49" applyNumberFormat="1" applyFont="1" applyFill="1" applyBorder="1" applyAlignment="1">
      <alignment vertical="center"/>
    </xf>
    <xf numFmtId="180" fontId="18" fillId="0" borderId="15" xfId="49" applyNumberFormat="1" applyFont="1" applyFill="1" applyBorder="1" applyAlignment="1">
      <alignment vertical="center"/>
    </xf>
    <xf numFmtId="181" fontId="18" fillId="0" borderId="15" xfId="49" applyNumberFormat="1" applyFont="1" applyFill="1" applyBorder="1" applyAlignment="1">
      <alignment vertical="center"/>
    </xf>
    <xf numFmtId="181" fontId="18" fillId="0" borderId="15" xfId="49" applyNumberFormat="1" applyFont="1" applyFill="1" applyBorder="1" applyAlignment="1">
      <alignment horizontal="right" vertical="center"/>
    </xf>
    <xf numFmtId="181" fontId="18" fillId="0" borderId="12" xfId="49" applyNumberFormat="1" applyFont="1" applyFill="1" applyBorder="1" applyAlignment="1">
      <alignment horizontal="right" vertical="center"/>
    </xf>
    <xf numFmtId="176" fontId="0" fillId="0" borderId="10" xfId="0" applyNumberFormat="1" applyFont="1" applyBorder="1" applyAlignment="1">
      <alignment/>
    </xf>
    <xf numFmtId="180" fontId="4" fillId="0" borderId="0" xfId="0" applyNumberFormat="1" applyFont="1" applyFill="1" applyBorder="1" applyAlignment="1">
      <alignment horizontal="center" vertical="center"/>
    </xf>
    <xf numFmtId="0" fontId="1" fillId="0" borderId="0" xfId="0" applyFont="1" applyFill="1" applyAlignment="1">
      <alignment vertical="center"/>
    </xf>
    <xf numFmtId="180" fontId="1" fillId="0" borderId="0" xfId="0" applyNumberFormat="1" applyFont="1" applyFill="1" applyAlignment="1">
      <alignment vertical="center"/>
    </xf>
    <xf numFmtId="0" fontId="1" fillId="0" borderId="0" xfId="0" applyFont="1" applyFill="1" applyBorder="1" applyAlignment="1">
      <alignment horizontal="center" vertical="center"/>
    </xf>
    <xf numFmtId="181" fontId="1" fillId="0" borderId="0" xfId="0" applyNumberFormat="1" applyFont="1" applyFill="1" applyAlignment="1">
      <alignment vertical="center"/>
    </xf>
    <xf numFmtId="177" fontId="1" fillId="0" borderId="0" xfId="0" applyNumberFormat="1" applyFont="1" applyFill="1" applyAlignment="1">
      <alignment vertical="center"/>
    </xf>
    <xf numFmtId="180" fontId="6" fillId="0" borderId="0" xfId="0" applyNumberFormat="1" applyFont="1" applyFill="1" applyBorder="1" applyAlignment="1">
      <alignment horizontal="center" vertical="center" wrapText="1"/>
    </xf>
    <xf numFmtId="180" fontId="6" fillId="0" borderId="0" xfId="0" applyNumberFormat="1" applyFont="1" applyFill="1" applyBorder="1" applyAlignment="1">
      <alignment horizontal="right" vertical="center"/>
    </xf>
    <xf numFmtId="181" fontId="6" fillId="0" borderId="0" xfId="0" applyNumberFormat="1" applyFont="1" applyFill="1" applyAlignment="1">
      <alignment vertical="center"/>
    </xf>
    <xf numFmtId="177" fontId="6" fillId="0" borderId="0" xfId="0" applyNumberFormat="1" applyFont="1" applyFill="1" applyAlignment="1">
      <alignment vertical="center"/>
    </xf>
    <xf numFmtId="185" fontId="26" fillId="0" borderId="0" xfId="62" applyNumberFormat="1" applyFont="1" applyBorder="1" applyAlignment="1">
      <alignment vertical="center"/>
      <protection/>
    </xf>
    <xf numFmtId="185" fontId="26" fillId="0" borderId="0" xfId="62" applyNumberFormat="1" applyFont="1" applyAlignment="1">
      <alignment vertical="center"/>
      <protection/>
    </xf>
    <xf numFmtId="185" fontId="27" fillId="0" borderId="0" xfId="62" applyNumberFormat="1" applyFont="1" applyAlignment="1">
      <alignment vertical="center"/>
      <protection/>
    </xf>
    <xf numFmtId="185" fontId="27" fillId="0" borderId="0" xfId="62" applyNumberFormat="1" applyFont="1" applyFill="1" applyBorder="1" applyAlignment="1">
      <alignment vertical="center"/>
      <protection/>
    </xf>
    <xf numFmtId="185" fontId="27" fillId="0" borderId="0" xfId="62" applyNumberFormat="1" applyFont="1" applyFill="1" applyAlignment="1">
      <alignment vertical="center"/>
      <protection/>
    </xf>
    <xf numFmtId="185" fontId="25" fillId="0" borderId="0" xfId="62" applyNumberFormat="1" applyFont="1" applyFill="1" applyAlignment="1">
      <alignment vertical="center"/>
      <protection/>
    </xf>
    <xf numFmtId="185" fontId="27" fillId="0" borderId="0" xfId="62" applyNumberFormat="1" applyFont="1" applyFill="1" applyAlignment="1">
      <alignment horizontal="right" vertical="center"/>
      <protection/>
    </xf>
    <xf numFmtId="185" fontId="27" fillId="0" borderId="0" xfId="62" applyNumberFormat="1" applyFont="1" applyFill="1" applyBorder="1" applyAlignment="1">
      <alignment horizontal="center" vertical="center"/>
      <protection/>
    </xf>
    <xf numFmtId="185" fontId="27" fillId="0" borderId="28" xfId="62" applyNumberFormat="1" applyFont="1" applyFill="1" applyBorder="1" applyAlignment="1">
      <alignment horizontal="center" vertical="center"/>
      <protection/>
    </xf>
    <xf numFmtId="185" fontId="27" fillId="21" borderId="0" xfId="62" applyNumberFormat="1" applyFont="1" applyFill="1" applyAlignment="1">
      <alignment vertical="center"/>
      <protection/>
    </xf>
    <xf numFmtId="185" fontId="27" fillId="0" borderId="0" xfId="62" applyNumberFormat="1" applyFont="1" applyFill="1" applyBorder="1" applyAlignment="1">
      <alignment horizontal="distributed" vertical="center"/>
      <protection/>
    </xf>
    <xf numFmtId="185" fontId="27" fillId="0" borderId="38" xfId="62" applyNumberFormat="1" applyFont="1" applyFill="1" applyBorder="1" applyAlignment="1">
      <alignment horizontal="center" vertical="center"/>
      <protection/>
    </xf>
    <xf numFmtId="185" fontId="27" fillId="0" borderId="32" xfId="62" applyNumberFormat="1" applyFont="1" applyFill="1" applyBorder="1" applyAlignment="1">
      <alignment horizontal="distributed" vertical="center"/>
      <protection/>
    </xf>
    <xf numFmtId="185" fontId="27" fillId="0" borderId="22" xfId="49" applyNumberFormat="1" applyFont="1" applyFill="1" applyBorder="1" applyAlignment="1">
      <alignment vertical="center" shrinkToFit="1"/>
    </xf>
    <xf numFmtId="185" fontId="27" fillId="0" borderId="0" xfId="49" applyNumberFormat="1" applyFont="1" applyFill="1" applyBorder="1" applyAlignment="1">
      <alignment vertical="center" shrinkToFit="1"/>
    </xf>
    <xf numFmtId="185" fontId="27" fillId="0" borderId="39" xfId="49" applyNumberFormat="1" applyFont="1" applyFill="1" applyBorder="1" applyAlignment="1">
      <alignment vertical="center" shrinkToFit="1"/>
    </xf>
    <xf numFmtId="185" fontId="27" fillId="0" borderId="40" xfId="49" applyNumberFormat="1" applyFont="1" applyFill="1" applyBorder="1" applyAlignment="1">
      <alignment vertical="center" shrinkToFit="1"/>
    </xf>
    <xf numFmtId="185" fontId="27" fillId="0" borderId="16" xfId="49" applyNumberFormat="1" applyFont="1" applyFill="1" applyBorder="1" applyAlignment="1">
      <alignment vertical="center" shrinkToFit="1"/>
    </xf>
    <xf numFmtId="185" fontId="27" fillId="0" borderId="33" xfId="49" applyNumberFormat="1" applyFont="1" applyFill="1" applyBorder="1" applyAlignment="1">
      <alignment vertical="center" shrinkToFit="1"/>
    </xf>
    <xf numFmtId="185" fontId="27" fillId="0" borderId="36" xfId="49" applyNumberFormat="1" applyFont="1" applyFill="1" applyBorder="1" applyAlignment="1">
      <alignment vertical="center" shrinkToFit="1"/>
    </xf>
    <xf numFmtId="185" fontId="27" fillId="0" borderId="41" xfId="49" applyNumberFormat="1" applyFont="1" applyFill="1" applyBorder="1" applyAlignment="1">
      <alignment vertical="center" shrinkToFit="1"/>
    </xf>
    <xf numFmtId="185" fontId="27" fillId="0" borderId="24" xfId="49" applyNumberFormat="1" applyFont="1" applyFill="1" applyBorder="1" applyAlignment="1">
      <alignment vertical="center" shrinkToFit="1"/>
    </xf>
    <xf numFmtId="185" fontId="27" fillId="0" borderId="27" xfId="49" applyNumberFormat="1" applyFont="1" applyFill="1" applyBorder="1" applyAlignment="1">
      <alignment vertical="center" shrinkToFit="1"/>
    </xf>
    <xf numFmtId="185" fontId="27" fillId="0" borderId="37" xfId="49" applyNumberFormat="1" applyFont="1" applyFill="1" applyBorder="1" applyAlignment="1">
      <alignment vertical="center" shrinkToFit="1"/>
    </xf>
    <xf numFmtId="185" fontId="27" fillId="0" borderId="42" xfId="49" applyNumberFormat="1" applyFont="1" applyFill="1" applyBorder="1" applyAlignment="1">
      <alignment vertical="center" shrinkToFit="1"/>
    </xf>
    <xf numFmtId="185" fontId="10" fillId="0" borderId="0" xfId="49" applyNumberFormat="1" applyFont="1" applyFill="1" applyBorder="1" applyAlignment="1">
      <alignment vertical="center" shrinkToFit="1"/>
    </xf>
    <xf numFmtId="185" fontId="10" fillId="0" borderId="16" xfId="49" applyNumberFormat="1" applyFont="1" applyFill="1" applyBorder="1" applyAlignment="1">
      <alignment vertical="center" shrinkToFit="1"/>
    </xf>
    <xf numFmtId="185" fontId="10" fillId="0" borderId="23" xfId="49" applyNumberFormat="1" applyFont="1" applyFill="1" applyBorder="1" applyAlignment="1">
      <alignment vertical="center" shrinkToFit="1"/>
    </xf>
    <xf numFmtId="185" fontId="10" fillId="0" borderId="16" xfId="62" applyNumberFormat="1" applyFont="1" applyFill="1" applyBorder="1" applyAlignment="1">
      <alignment vertical="center" shrinkToFit="1"/>
      <protection/>
    </xf>
    <xf numFmtId="185" fontId="10" fillId="0" borderId="0" xfId="62" applyNumberFormat="1" applyFont="1" applyFill="1" applyBorder="1" applyAlignment="1">
      <alignment vertical="center" shrinkToFit="1"/>
      <protection/>
    </xf>
    <xf numFmtId="185" fontId="10" fillId="0" borderId="22" xfId="49" applyNumberFormat="1" applyFont="1" applyFill="1" applyBorder="1" applyAlignment="1">
      <alignment vertical="center" shrinkToFit="1"/>
    </xf>
    <xf numFmtId="185" fontId="10" fillId="0" borderId="40" xfId="49" applyNumberFormat="1" applyFont="1" applyFill="1" applyBorder="1" applyAlignment="1">
      <alignment vertical="center" shrinkToFit="1"/>
    </xf>
    <xf numFmtId="185" fontId="10" fillId="0" borderId="33" xfId="49" applyNumberFormat="1" applyFont="1" applyFill="1" applyBorder="1" applyAlignment="1">
      <alignment vertical="center" shrinkToFit="1"/>
    </xf>
    <xf numFmtId="185" fontId="10" fillId="0" borderId="0" xfId="62" applyNumberFormat="1" applyFont="1" applyFill="1" applyAlignment="1">
      <alignment vertical="center"/>
      <protection/>
    </xf>
    <xf numFmtId="185" fontId="10" fillId="0" borderId="33" xfId="49" applyNumberFormat="1" applyFont="1" applyFill="1" applyBorder="1" applyAlignment="1">
      <alignment horizontal="distributed" vertical="center" shrinkToFit="1"/>
    </xf>
    <xf numFmtId="185" fontId="10" fillId="0" borderId="36" xfId="49" applyNumberFormat="1" applyFont="1" applyFill="1" applyBorder="1" applyAlignment="1">
      <alignment vertical="center" shrinkToFit="1"/>
    </xf>
    <xf numFmtId="185" fontId="10" fillId="0" borderId="34" xfId="49" applyNumberFormat="1" applyFont="1" applyFill="1" applyBorder="1" applyAlignment="1">
      <alignment vertical="center" shrinkToFit="1"/>
    </xf>
    <xf numFmtId="185" fontId="10" fillId="0" borderId="39" xfId="49" applyNumberFormat="1" applyFont="1" applyFill="1" applyBorder="1" applyAlignment="1">
      <alignment vertical="center" shrinkToFit="1"/>
    </xf>
    <xf numFmtId="185" fontId="10" fillId="0" borderId="39" xfId="62" applyNumberFormat="1" applyFont="1" applyFill="1" applyBorder="1" applyAlignment="1">
      <alignment vertical="center" shrinkToFit="1"/>
      <protection/>
    </xf>
    <xf numFmtId="185" fontId="10" fillId="0" borderId="41" xfId="62" applyNumberFormat="1" applyFont="1" applyFill="1" applyBorder="1" applyAlignment="1">
      <alignment vertical="center" shrinkToFit="1"/>
      <protection/>
    </xf>
    <xf numFmtId="185" fontId="10" fillId="0" borderId="28" xfId="49" applyNumberFormat="1" applyFont="1" applyFill="1" applyBorder="1" applyAlignment="1">
      <alignment vertical="center" shrinkToFit="1"/>
    </xf>
    <xf numFmtId="185" fontId="10" fillId="0" borderId="27" xfId="49" applyNumberFormat="1" applyFont="1" applyFill="1" applyBorder="1" applyAlignment="1">
      <alignment horizontal="distributed" vertical="center" shrinkToFit="1"/>
    </xf>
    <xf numFmtId="185" fontId="10" fillId="0" borderId="27" xfId="49" applyNumberFormat="1" applyFont="1" applyFill="1" applyBorder="1" applyAlignment="1">
      <alignment vertical="center" shrinkToFit="1"/>
    </xf>
    <xf numFmtId="185" fontId="10" fillId="0" borderId="37" xfId="49" applyNumberFormat="1" applyFont="1" applyFill="1" applyBorder="1" applyAlignment="1">
      <alignment vertical="center" shrinkToFit="1"/>
    </xf>
    <xf numFmtId="185" fontId="10" fillId="0" borderId="25" xfId="49" applyNumberFormat="1" applyFont="1" applyFill="1" applyBorder="1" applyAlignment="1">
      <alignment vertical="center" shrinkToFit="1"/>
    </xf>
    <xf numFmtId="185" fontId="10" fillId="0" borderId="37" xfId="62" applyNumberFormat="1" applyFont="1" applyFill="1" applyBorder="1" applyAlignment="1">
      <alignment vertical="center" shrinkToFit="1"/>
      <protection/>
    </xf>
    <xf numFmtId="185" fontId="10" fillId="0" borderId="27" xfId="62" applyNumberFormat="1" applyFont="1" applyFill="1" applyBorder="1" applyAlignment="1">
      <alignment vertical="center" shrinkToFit="1"/>
      <protection/>
    </xf>
    <xf numFmtId="185" fontId="10" fillId="0" borderId="40" xfId="62" applyNumberFormat="1" applyFont="1" applyFill="1" applyBorder="1" applyAlignment="1">
      <alignment vertical="center" shrinkToFit="1"/>
      <protection/>
    </xf>
    <xf numFmtId="185" fontId="10" fillId="0" borderId="38" xfId="49" applyNumberFormat="1" applyFont="1" applyFill="1" applyBorder="1" applyAlignment="1">
      <alignment vertical="center" shrinkToFit="1"/>
    </xf>
    <xf numFmtId="185" fontId="10" fillId="0" borderId="28" xfId="62" applyNumberFormat="1" applyFont="1" applyFill="1" applyBorder="1" applyAlignment="1">
      <alignment horizontal="distributed" vertical="center" shrinkToFit="1"/>
      <protection/>
    </xf>
    <xf numFmtId="185" fontId="10" fillId="0" borderId="0" xfId="62" applyNumberFormat="1" applyFont="1" applyAlignment="1">
      <alignment vertical="center"/>
      <protection/>
    </xf>
    <xf numFmtId="185" fontId="10" fillId="0" borderId="24" xfId="49" applyNumberFormat="1" applyFont="1" applyFill="1" applyBorder="1" applyAlignment="1">
      <alignment horizontal="distributed" vertical="center" shrinkToFit="1"/>
    </xf>
    <xf numFmtId="185" fontId="10" fillId="0" borderId="42" xfId="62" applyNumberFormat="1" applyFont="1" applyFill="1" applyBorder="1" applyAlignment="1">
      <alignment vertical="center" shrinkToFit="1"/>
      <protection/>
    </xf>
    <xf numFmtId="198" fontId="10" fillId="0" borderId="27" xfId="49" applyNumberFormat="1" applyFont="1" applyFill="1" applyBorder="1" applyAlignment="1">
      <alignment vertical="center" shrinkToFit="1"/>
    </xf>
    <xf numFmtId="185" fontId="10" fillId="0" borderId="32" xfId="62" applyNumberFormat="1" applyFont="1" applyFill="1" applyBorder="1" applyAlignment="1">
      <alignment horizontal="distributed" vertical="center" shrinkToFit="1"/>
      <protection/>
    </xf>
    <xf numFmtId="185" fontId="27" fillId="0" borderId="0" xfId="62" applyNumberFormat="1" applyFont="1" applyFill="1" applyBorder="1" applyAlignment="1">
      <alignment horizontal="distributed" vertical="center"/>
      <protection/>
    </xf>
    <xf numFmtId="185" fontId="27" fillId="0" borderId="33" xfId="49" applyNumberFormat="1" applyFont="1" applyFill="1" applyBorder="1" applyAlignment="1">
      <alignment horizontal="distributed" vertical="center" shrinkToFit="1"/>
    </xf>
    <xf numFmtId="185" fontId="27" fillId="0" borderId="0" xfId="62" applyNumberFormat="1" applyFont="1" applyFill="1" applyBorder="1" applyAlignment="1">
      <alignment vertical="center" shrinkToFit="1"/>
      <protection/>
    </xf>
    <xf numFmtId="185" fontId="27" fillId="0" borderId="43" xfId="49" applyNumberFormat="1" applyFont="1" applyFill="1" applyBorder="1" applyAlignment="1">
      <alignment horizontal="distributed" vertical="center" shrinkToFit="1"/>
    </xf>
    <xf numFmtId="185" fontId="27" fillId="0" borderId="44" xfId="49" applyNumberFormat="1" applyFont="1" applyFill="1" applyBorder="1" applyAlignment="1">
      <alignment vertical="center" shrinkToFit="1"/>
    </xf>
    <xf numFmtId="185" fontId="27" fillId="0" borderId="45" xfId="49" applyNumberFormat="1" applyFont="1" applyFill="1" applyBorder="1" applyAlignment="1">
      <alignment vertical="center" shrinkToFit="1"/>
    </xf>
    <xf numFmtId="198" fontId="27" fillId="0" borderId="44" xfId="49" applyNumberFormat="1" applyFont="1" applyFill="1" applyBorder="1" applyAlignment="1">
      <alignment horizontal="right" vertical="center" shrinkToFit="1"/>
    </xf>
    <xf numFmtId="185" fontId="27" fillId="0" borderId="18" xfId="49" applyNumberFormat="1" applyFont="1" applyFill="1" applyBorder="1" applyAlignment="1">
      <alignment horizontal="distributed" vertical="center" shrinkToFit="1"/>
    </xf>
    <xf numFmtId="185" fontId="27" fillId="0" borderId="46" xfId="49" applyNumberFormat="1" applyFont="1" applyFill="1" applyBorder="1" applyAlignment="1">
      <alignment vertical="center" shrinkToFit="1"/>
    </xf>
    <xf numFmtId="185" fontId="27" fillId="0" borderId="21" xfId="49" applyNumberFormat="1" applyFont="1" applyFill="1" applyBorder="1" applyAlignment="1">
      <alignment vertical="center" shrinkToFit="1"/>
    </xf>
    <xf numFmtId="185" fontId="27" fillId="0" borderId="46" xfId="62" applyNumberFormat="1" applyFont="1" applyFill="1" applyBorder="1" applyAlignment="1">
      <alignment vertical="center" shrinkToFit="1"/>
      <protection/>
    </xf>
    <xf numFmtId="185" fontId="27" fillId="0" borderId="18" xfId="49" applyNumberFormat="1" applyFont="1" applyFill="1" applyBorder="1" applyAlignment="1">
      <alignment vertical="center" shrinkToFit="1"/>
    </xf>
    <xf numFmtId="185" fontId="27" fillId="0" borderId="47" xfId="49" applyNumberFormat="1" applyFont="1" applyFill="1" applyBorder="1" applyAlignment="1">
      <alignment vertical="center" shrinkToFit="1"/>
    </xf>
    <xf numFmtId="185" fontId="27" fillId="0" borderId="44" xfId="62" applyNumberFormat="1" applyFont="1" applyFill="1" applyBorder="1" applyAlignment="1">
      <alignment vertical="center" shrinkToFit="1"/>
      <protection/>
    </xf>
    <xf numFmtId="185" fontId="27" fillId="0" borderId="43" xfId="49" applyNumberFormat="1" applyFont="1" applyFill="1" applyBorder="1" applyAlignment="1">
      <alignment vertical="center" shrinkToFit="1"/>
    </xf>
    <xf numFmtId="185" fontId="27" fillId="0" borderId="48" xfId="49" applyNumberFormat="1" applyFont="1" applyFill="1" applyBorder="1" applyAlignment="1">
      <alignment vertical="center" shrinkToFit="1"/>
    </xf>
    <xf numFmtId="198" fontId="27" fillId="0" borderId="44" xfId="49" applyNumberFormat="1" applyFont="1" applyFill="1" applyBorder="1" applyAlignment="1">
      <alignment vertical="center" shrinkToFit="1"/>
    </xf>
    <xf numFmtId="200" fontId="27" fillId="0" borderId="44" xfId="49" applyNumberFormat="1" applyFont="1" applyFill="1" applyBorder="1" applyAlignment="1">
      <alignment vertical="center" shrinkToFit="1"/>
    </xf>
    <xf numFmtId="203" fontId="27" fillId="0" borderId="0" xfId="49" applyNumberFormat="1" applyFont="1" applyFill="1" applyBorder="1" applyAlignment="1">
      <alignment horizontal="right" vertical="center" shrinkToFit="1"/>
    </xf>
    <xf numFmtId="185" fontId="27" fillId="0" borderId="24" xfId="49" applyNumberFormat="1" applyFont="1" applyFill="1" applyBorder="1" applyAlignment="1">
      <alignment horizontal="distributed" vertical="center" shrinkToFit="1"/>
    </xf>
    <xf numFmtId="198" fontId="27" fillId="0" borderId="0" xfId="49" applyNumberFormat="1" applyFont="1" applyFill="1" applyBorder="1" applyAlignment="1">
      <alignment vertical="center" shrinkToFit="1"/>
    </xf>
    <xf numFmtId="185" fontId="10" fillId="0" borderId="36" xfId="49" applyNumberFormat="1" applyFont="1" applyFill="1" applyBorder="1" applyAlignment="1">
      <alignment horizontal="distributed" vertical="center" shrinkToFit="1"/>
    </xf>
    <xf numFmtId="185" fontId="27" fillId="0" borderId="0" xfId="49" applyNumberFormat="1" applyFont="1" applyFill="1" applyBorder="1" applyAlignment="1">
      <alignment horizontal="distributed" vertical="center" shrinkToFit="1"/>
    </xf>
    <xf numFmtId="185" fontId="27" fillId="0" borderId="46" xfId="49" applyNumberFormat="1" applyFont="1" applyFill="1" applyBorder="1" applyAlignment="1">
      <alignment horizontal="distributed" vertical="center" shrinkToFit="1"/>
    </xf>
    <xf numFmtId="185" fontId="27" fillId="0" borderId="44" xfId="49" applyNumberFormat="1" applyFont="1" applyFill="1" applyBorder="1" applyAlignment="1">
      <alignment horizontal="distributed" vertical="center" shrinkToFit="1"/>
    </xf>
    <xf numFmtId="185" fontId="10" fillId="0" borderId="24" xfId="62" applyNumberFormat="1" applyFont="1" applyFill="1" applyBorder="1" applyAlignment="1">
      <alignment vertical="center" shrinkToFit="1"/>
      <protection/>
    </xf>
    <xf numFmtId="185" fontId="10" fillId="0" borderId="0" xfId="49" applyNumberFormat="1" applyFont="1" applyFill="1" applyBorder="1" applyAlignment="1">
      <alignment horizontal="distributed" vertical="center" shrinkToFit="1"/>
    </xf>
    <xf numFmtId="185" fontId="10" fillId="0" borderId="22" xfId="49" applyNumberFormat="1" applyFont="1" applyFill="1" applyBorder="1" applyAlignment="1">
      <alignment horizontal="distributed" vertical="center" shrinkToFit="1"/>
    </xf>
    <xf numFmtId="185" fontId="10" fillId="0" borderId="32" xfId="49" applyNumberFormat="1" applyFont="1" applyFill="1" applyBorder="1" applyAlignment="1">
      <alignment vertical="center" shrinkToFit="1"/>
    </xf>
    <xf numFmtId="185" fontId="27" fillId="0" borderId="27" xfId="49" applyNumberFormat="1" applyFont="1" applyFill="1" applyBorder="1" applyAlignment="1">
      <alignment horizontal="distributed" vertical="center" shrinkToFit="1"/>
    </xf>
    <xf numFmtId="185" fontId="27" fillId="0" borderId="27" xfId="62" applyNumberFormat="1" applyFont="1" applyFill="1" applyBorder="1" applyAlignment="1">
      <alignment vertical="center" shrinkToFit="1"/>
      <protection/>
    </xf>
    <xf numFmtId="203" fontId="27" fillId="0" borderId="27" xfId="49" applyNumberFormat="1" applyFont="1" applyFill="1" applyBorder="1" applyAlignment="1">
      <alignment vertical="center" shrinkToFit="1"/>
    </xf>
    <xf numFmtId="203" fontId="27" fillId="0" borderId="27" xfId="49" applyNumberFormat="1" applyFont="1" applyFill="1" applyBorder="1" applyAlignment="1">
      <alignment horizontal="right" vertical="center" shrinkToFit="1"/>
    </xf>
    <xf numFmtId="185" fontId="27" fillId="0" borderId="0" xfId="62" applyNumberFormat="1" applyFont="1" applyBorder="1" applyAlignment="1">
      <alignment vertical="center"/>
      <protection/>
    </xf>
    <xf numFmtId="185" fontId="25" fillId="0" borderId="0" xfId="62" applyNumberFormat="1" applyFont="1" applyFill="1" applyBorder="1" applyAlignment="1">
      <alignment vertical="center"/>
      <protection/>
    </xf>
    <xf numFmtId="185" fontId="27" fillId="0" borderId="0" xfId="62" applyNumberFormat="1" applyFont="1" applyFill="1" applyBorder="1" applyAlignment="1">
      <alignment/>
      <protection/>
    </xf>
    <xf numFmtId="203" fontId="27" fillId="0" borderId="44" xfId="49" applyNumberFormat="1" applyFont="1" applyFill="1" applyBorder="1" applyAlignment="1">
      <alignment vertical="center" shrinkToFit="1"/>
    </xf>
    <xf numFmtId="198" fontId="10" fillId="0" borderId="36" xfId="49" applyNumberFormat="1" applyFont="1" applyFill="1" applyBorder="1" applyAlignment="1">
      <alignment vertical="center" shrinkToFit="1"/>
    </xf>
    <xf numFmtId="198" fontId="27" fillId="0" borderId="46" xfId="49" applyNumberFormat="1" applyFont="1" applyFill="1" applyBorder="1" applyAlignment="1">
      <alignment vertical="center" shrinkToFit="1"/>
    </xf>
    <xf numFmtId="198" fontId="27" fillId="0" borderId="27" xfId="49" applyNumberFormat="1" applyFont="1" applyFill="1" applyBorder="1" applyAlignment="1">
      <alignment vertical="center" shrinkToFit="1"/>
    </xf>
    <xf numFmtId="185" fontId="10" fillId="0" borderId="38" xfId="62" applyNumberFormat="1" applyFont="1" applyFill="1" applyBorder="1" applyAlignment="1">
      <alignment horizontal="distributed" vertical="center" shrinkToFit="1"/>
      <protection/>
    </xf>
    <xf numFmtId="182" fontId="27" fillId="0" borderId="0" xfId="49" applyNumberFormat="1" applyFont="1" applyFill="1" applyBorder="1" applyAlignment="1">
      <alignment vertical="center" shrinkToFit="1"/>
    </xf>
    <xf numFmtId="185" fontId="27" fillId="0" borderId="36" xfId="62" applyNumberFormat="1" applyFont="1" applyFill="1" applyBorder="1" applyAlignment="1">
      <alignment vertical="center"/>
      <protection/>
    </xf>
    <xf numFmtId="185" fontId="24" fillId="0" borderId="0" xfId="62" applyNumberFormat="1" applyFont="1" applyAlignment="1">
      <alignment vertical="center"/>
      <protection/>
    </xf>
    <xf numFmtId="185" fontId="24" fillId="0" borderId="0" xfId="62" applyNumberFormat="1" applyFont="1" applyFill="1" applyBorder="1" applyAlignment="1">
      <alignment vertical="center"/>
      <protection/>
    </xf>
    <xf numFmtId="185" fontId="27" fillId="0" borderId="28" xfId="62" applyNumberFormat="1" applyFont="1" applyFill="1" applyBorder="1" applyAlignment="1">
      <alignment vertical="center"/>
      <protection/>
    </xf>
    <xf numFmtId="185" fontId="27" fillId="0" borderId="38" xfId="62" applyNumberFormat="1" applyFont="1" applyFill="1" applyBorder="1" applyAlignment="1">
      <alignment vertical="center"/>
      <protection/>
    </xf>
    <xf numFmtId="185" fontId="24" fillId="0" borderId="0" xfId="62" applyNumberFormat="1" applyFont="1" applyFill="1" applyBorder="1" applyAlignment="1">
      <alignment horizontal="distributed" vertical="center"/>
      <protection/>
    </xf>
    <xf numFmtId="185" fontId="27" fillId="0" borderId="32" xfId="62" applyNumberFormat="1" applyFont="1" applyFill="1" applyBorder="1" applyAlignment="1">
      <alignment vertical="center"/>
      <protection/>
    </xf>
    <xf numFmtId="198" fontId="10" fillId="0" borderId="0" xfId="49" applyNumberFormat="1" applyFont="1" applyFill="1" applyBorder="1" applyAlignment="1">
      <alignment vertical="center" shrinkToFit="1"/>
    </xf>
    <xf numFmtId="185" fontId="10" fillId="0" borderId="28" xfId="62" applyNumberFormat="1" applyFont="1" applyFill="1" applyBorder="1" applyAlignment="1">
      <alignment vertical="center" shrinkToFit="1"/>
      <protection/>
    </xf>
    <xf numFmtId="185" fontId="10" fillId="0" borderId="38" xfId="62" applyNumberFormat="1" applyFont="1" applyFill="1" applyBorder="1" applyAlignment="1">
      <alignment vertical="center" shrinkToFit="1"/>
      <protection/>
    </xf>
    <xf numFmtId="206" fontId="27" fillId="0" borderId="36" xfId="49" applyNumberFormat="1" applyFont="1" applyFill="1" applyBorder="1" applyAlignment="1">
      <alignment vertical="center" shrinkToFit="1"/>
    </xf>
    <xf numFmtId="206" fontId="27" fillId="0" borderId="27" xfId="49" applyNumberFormat="1" applyFont="1" applyFill="1" applyBorder="1" applyAlignment="1">
      <alignment vertical="center" shrinkToFit="1"/>
    </xf>
    <xf numFmtId="185" fontId="10" fillId="0" borderId="32" xfId="62" applyNumberFormat="1" applyFont="1" applyFill="1" applyBorder="1" applyAlignment="1">
      <alignment vertical="center" shrinkToFit="1"/>
      <protection/>
    </xf>
    <xf numFmtId="182" fontId="27" fillId="0" borderId="44" xfId="49" applyNumberFormat="1" applyFont="1" applyFill="1" applyBorder="1" applyAlignment="1">
      <alignment vertical="center" shrinkToFit="1"/>
    </xf>
    <xf numFmtId="185" fontId="27" fillId="0" borderId="0" xfId="49" applyNumberFormat="1" applyFont="1" applyFill="1" applyBorder="1" applyAlignment="1" applyProtection="1">
      <alignment vertical="center" shrinkToFit="1"/>
      <protection/>
    </xf>
    <xf numFmtId="206" fontId="27" fillId="0" borderId="44" xfId="49" applyNumberFormat="1" applyFont="1" applyFill="1" applyBorder="1" applyAlignment="1">
      <alignment vertical="center" shrinkToFit="1"/>
    </xf>
    <xf numFmtId="185" fontId="27" fillId="0" borderId="44" xfId="49" applyNumberFormat="1" applyFont="1" applyFill="1" applyBorder="1" applyAlignment="1" applyProtection="1">
      <alignment vertical="center" shrinkToFit="1"/>
      <protection/>
    </xf>
    <xf numFmtId="182" fontId="27" fillId="0" borderId="27" xfId="49" applyNumberFormat="1" applyFont="1" applyFill="1" applyBorder="1" applyAlignment="1">
      <alignment vertical="center" shrinkToFit="1"/>
    </xf>
    <xf numFmtId="182" fontId="10" fillId="0" borderId="27" xfId="49" applyNumberFormat="1" applyFont="1" applyFill="1" applyBorder="1" applyAlignment="1">
      <alignment vertical="center" shrinkToFit="1"/>
    </xf>
    <xf numFmtId="182" fontId="10" fillId="0" borderId="0" xfId="49" applyNumberFormat="1" applyFont="1" applyFill="1" applyBorder="1" applyAlignment="1">
      <alignment vertical="center" shrinkToFit="1"/>
    </xf>
    <xf numFmtId="206" fontId="27" fillId="0" borderId="0" xfId="49" applyNumberFormat="1" applyFont="1" applyFill="1" applyBorder="1" applyAlignment="1">
      <alignment vertical="center" shrinkToFit="1"/>
    </xf>
    <xf numFmtId="198" fontId="27" fillId="0" borderId="0" xfId="62" applyNumberFormat="1" applyFont="1" applyFill="1" applyBorder="1" applyAlignment="1">
      <alignment vertical="center" shrinkToFit="1"/>
      <protection/>
    </xf>
    <xf numFmtId="198" fontId="27" fillId="0" borderId="36" xfId="49" applyNumberFormat="1" applyFont="1" applyFill="1" applyBorder="1" applyAlignment="1">
      <alignment horizontal="right" vertical="center" shrinkToFit="1"/>
    </xf>
    <xf numFmtId="198" fontId="27" fillId="0" borderId="0" xfId="49" applyNumberFormat="1" applyFont="1" applyFill="1" applyBorder="1" applyAlignment="1">
      <alignment horizontal="right" vertical="center" shrinkToFit="1"/>
    </xf>
    <xf numFmtId="185" fontId="24" fillId="0" borderId="0" xfId="62" applyNumberFormat="1" applyFont="1" applyFill="1" applyAlignment="1">
      <alignment vertical="center"/>
      <protection/>
    </xf>
    <xf numFmtId="185" fontId="24" fillId="0" borderId="36" xfId="62" applyNumberFormat="1" applyFont="1" applyFill="1" applyBorder="1" applyAlignment="1">
      <alignment vertical="center"/>
      <protection/>
    </xf>
    <xf numFmtId="198" fontId="27" fillId="0" borderId="44" xfId="62" applyNumberFormat="1" applyFont="1" applyFill="1" applyBorder="1" applyAlignment="1">
      <alignment vertical="center" shrinkToFit="1"/>
      <protection/>
    </xf>
    <xf numFmtId="182" fontId="10" fillId="0" borderId="36" xfId="49" applyNumberFormat="1" applyFont="1" applyFill="1" applyBorder="1" applyAlignment="1">
      <alignment vertical="center" shrinkToFit="1"/>
    </xf>
    <xf numFmtId="203" fontId="10" fillId="0" borderId="27" xfId="49" applyNumberFormat="1" applyFont="1" applyFill="1" applyBorder="1" applyAlignment="1">
      <alignment vertical="center" shrinkToFit="1"/>
    </xf>
    <xf numFmtId="206" fontId="10" fillId="0" borderId="27" xfId="49" applyNumberFormat="1" applyFont="1" applyFill="1" applyBorder="1" applyAlignment="1">
      <alignment vertical="center" shrinkToFit="1"/>
    </xf>
    <xf numFmtId="0" fontId="7" fillId="0" borderId="0" xfId="0" applyFont="1" applyAlignment="1">
      <alignment vertical="center"/>
    </xf>
    <xf numFmtId="0" fontId="3" fillId="0" borderId="0" xfId="0" applyFont="1" applyAlignment="1">
      <alignment horizontal="left" vertical="center"/>
    </xf>
    <xf numFmtId="0" fontId="0" fillId="0" borderId="0" xfId="0" applyFont="1" applyAlignment="1">
      <alignment vertical="center"/>
    </xf>
    <xf numFmtId="0" fontId="0" fillId="0" borderId="0" xfId="0" applyAlignment="1">
      <alignment vertical="center"/>
    </xf>
    <xf numFmtId="0" fontId="0" fillId="0" borderId="0" xfId="0" applyFont="1" applyAlignment="1">
      <alignment horizontal="right" vertical="center"/>
    </xf>
    <xf numFmtId="0" fontId="0" fillId="0" borderId="0" xfId="0" applyFill="1" applyAlignment="1">
      <alignment vertical="center"/>
    </xf>
    <xf numFmtId="0" fontId="6" fillId="0" borderId="10" xfId="0" applyFont="1" applyFill="1" applyBorder="1" applyAlignment="1">
      <alignment horizontal="center" vertical="center" shrinkToFit="1"/>
    </xf>
    <xf numFmtId="0" fontId="6" fillId="0" borderId="10" xfId="0" applyFont="1" applyFill="1" applyBorder="1" applyAlignment="1">
      <alignment horizontal="center" vertical="center"/>
    </xf>
    <xf numFmtId="0" fontId="6" fillId="0" borderId="17" xfId="0" applyFont="1" applyFill="1" applyBorder="1" applyAlignment="1">
      <alignment horizontal="center" vertical="center" shrinkToFit="1"/>
    </xf>
    <xf numFmtId="0" fontId="6" fillId="0" borderId="17" xfId="0" applyFont="1" applyFill="1" applyBorder="1" applyAlignment="1">
      <alignment horizontal="center" vertical="center"/>
    </xf>
    <xf numFmtId="0" fontId="29" fillId="0" borderId="17" xfId="0" applyFont="1" applyFill="1" applyBorder="1" applyAlignment="1">
      <alignment horizontal="center" vertical="center" shrinkToFit="1"/>
    </xf>
    <xf numFmtId="0" fontId="29" fillId="0" borderId="17" xfId="0" applyFont="1" applyFill="1" applyBorder="1" applyAlignment="1">
      <alignment horizontal="center" vertical="center"/>
    </xf>
    <xf numFmtId="38" fontId="6" fillId="0" borderId="10" xfId="51" applyFont="1" applyFill="1" applyBorder="1" applyAlignment="1">
      <alignment vertical="center"/>
    </xf>
    <xf numFmtId="216" fontId="6" fillId="0" borderId="10" xfId="51" applyNumberFormat="1" applyFont="1" applyFill="1" applyBorder="1" applyAlignment="1">
      <alignment vertical="center"/>
    </xf>
    <xf numFmtId="216" fontId="6" fillId="0" borderId="10" xfId="51" applyNumberFormat="1" applyFont="1" applyFill="1" applyBorder="1" applyAlignment="1">
      <alignment horizontal="right" vertical="center" shrinkToFit="1"/>
    </xf>
    <xf numFmtId="38" fontId="29" fillId="0" borderId="10" xfId="51" applyFont="1" applyFill="1" applyBorder="1" applyAlignment="1">
      <alignment vertical="center"/>
    </xf>
    <xf numFmtId="188" fontId="29" fillId="0" borderId="10" xfId="51" applyNumberFormat="1" applyFont="1" applyFill="1" applyBorder="1" applyAlignment="1">
      <alignment vertical="center"/>
    </xf>
    <xf numFmtId="0" fontId="6" fillId="0" borderId="49" xfId="0" applyFont="1" applyFill="1" applyBorder="1" applyAlignment="1">
      <alignment vertical="center"/>
    </xf>
    <xf numFmtId="216" fontId="6" fillId="0" borderId="10" xfId="51" applyNumberFormat="1" applyFont="1" applyFill="1" applyBorder="1" applyAlignment="1">
      <alignment horizontal="right" vertical="center"/>
    </xf>
    <xf numFmtId="191" fontId="28" fillId="0" borderId="10" xfId="51" applyNumberFormat="1" applyFont="1" applyFill="1" applyBorder="1" applyAlignment="1">
      <alignment vertical="center"/>
    </xf>
    <xf numFmtId="191" fontId="6" fillId="0" borderId="10" xfId="51" applyNumberFormat="1" applyFont="1" applyFill="1" applyBorder="1" applyAlignment="1">
      <alignment vertical="center"/>
    </xf>
    <xf numFmtId="202" fontId="6" fillId="0" borderId="10" xfId="51" applyNumberFormat="1" applyFont="1" applyFill="1" applyBorder="1" applyAlignment="1">
      <alignment horizontal="right" vertical="center" shrinkToFit="1"/>
    </xf>
    <xf numFmtId="191" fontId="29" fillId="0" borderId="10" xfId="51" applyNumberFormat="1" applyFont="1" applyFill="1" applyBorder="1" applyAlignment="1">
      <alignment vertical="center"/>
    </xf>
    <xf numFmtId="38" fontId="6" fillId="0" borderId="13" xfId="51" applyFont="1" applyFill="1" applyBorder="1" applyAlignment="1">
      <alignment vertical="center"/>
    </xf>
    <xf numFmtId="216" fontId="6" fillId="0" borderId="13" xfId="51" applyNumberFormat="1" applyFont="1" applyFill="1" applyBorder="1" applyAlignment="1">
      <alignment vertical="center"/>
    </xf>
    <xf numFmtId="216" fontId="6" fillId="0" borderId="13" xfId="51" applyNumberFormat="1" applyFont="1" applyFill="1" applyBorder="1" applyAlignment="1">
      <alignment horizontal="right" vertical="center" shrinkToFit="1"/>
    </xf>
    <xf numFmtId="38" fontId="29" fillId="0" borderId="13" xfId="51" applyFont="1" applyFill="1" applyBorder="1" applyAlignment="1">
      <alignment vertical="center"/>
    </xf>
    <xf numFmtId="188" fontId="29" fillId="0" borderId="13" xfId="51" applyNumberFormat="1" applyFont="1" applyFill="1" applyBorder="1" applyAlignment="1">
      <alignment vertical="center"/>
    </xf>
    <xf numFmtId="0" fontId="0" fillId="0" borderId="31" xfId="0" applyFill="1" applyBorder="1" applyAlignment="1">
      <alignment vertical="center"/>
    </xf>
    <xf numFmtId="0" fontId="6" fillId="0" borderId="0" xfId="0" applyFont="1" applyBorder="1" applyAlignment="1">
      <alignment horizontal="left" vertical="center"/>
    </xf>
    <xf numFmtId="38" fontId="6" fillId="0" borderId="0" xfId="51" applyFont="1" applyBorder="1" applyAlignment="1">
      <alignment vertical="center"/>
    </xf>
    <xf numFmtId="185" fontId="6" fillId="0" borderId="0" xfId="0" applyNumberFormat="1" applyFont="1" applyBorder="1" applyAlignment="1">
      <alignment vertical="center"/>
    </xf>
    <xf numFmtId="0" fontId="4" fillId="0" borderId="0" xfId="0" applyFont="1" applyAlignment="1">
      <alignment vertical="center"/>
    </xf>
    <xf numFmtId="0" fontId="6" fillId="0" borderId="0" xfId="0" applyFont="1" applyAlignment="1">
      <alignment horizontal="right" vertical="center"/>
    </xf>
    <xf numFmtId="0" fontId="6" fillId="0" borderId="50" xfId="0" applyFont="1" applyFill="1" applyBorder="1" applyAlignment="1">
      <alignment horizontal="center" vertical="center"/>
    </xf>
    <xf numFmtId="0" fontId="6" fillId="0" borderId="51" xfId="0" applyFont="1" applyFill="1" applyBorder="1" applyAlignment="1">
      <alignment horizontal="center" vertical="center"/>
    </xf>
    <xf numFmtId="0" fontId="8" fillId="0" borderId="50" xfId="0" applyFont="1" applyFill="1" applyBorder="1" applyAlignment="1">
      <alignment horizontal="center" vertical="center"/>
    </xf>
    <xf numFmtId="0" fontId="8" fillId="0" borderId="51" xfId="0" applyFont="1" applyFill="1" applyBorder="1" applyAlignment="1">
      <alignment horizontal="center" vertical="center"/>
    </xf>
    <xf numFmtId="0" fontId="10" fillId="0" borderId="50" xfId="0" applyFont="1" applyFill="1" applyBorder="1" applyAlignment="1">
      <alignment horizontal="center" vertical="center"/>
    </xf>
    <xf numFmtId="0" fontId="10" fillId="0" borderId="51" xfId="0" applyFont="1" applyFill="1" applyBorder="1" applyAlignment="1">
      <alignment horizontal="center" vertical="center"/>
    </xf>
    <xf numFmtId="0" fontId="23" fillId="0" borderId="0" xfId="0" applyFont="1" applyFill="1" applyAlignment="1">
      <alignment horizontal="center" vertical="center"/>
    </xf>
    <xf numFmtId="182" fontId="6" fillId="0" borderId="52" xfId="0" applyNumberFormat="1" applyFont="1" applyFill="1" applyBorder="1" applyAlignment="1">
      <alignment vertical="center"/>
    </xf>
    <xf numFmtId="182" fontId="6" fillId="0" borderId="53" xfId="0" applyNumberFormat="1" applyFont="1" applyFill="1" applyBorder="1" applyAlignment="1">
      <alignment vertical="center"/>
    </xf>
    <xf numFmtId="182" fontId="8" fillId="0" borderId="52" xfId="0" applyNumberFormat="1" applyFont="1" applyFill="1" applyBorder="1" applyAlignment="1">
      <alignment vertical="center"/>
    </xf>
    <xf numFmtId="182" fontId="8" fillId="0" borderId="53" xfId="0" applyNumberFormat="1" applyFont="1" applyFill="1" applyBorder="1" applyAlignment="1">
      <alignment vertical="center"/>
    </xf>
    <xf numFmtId="182" fontId="10" fillId="0" borderId="52" xfId="0" applyNumberFormat="1" applyFont="1" applyFill="1" applyBorder="1" applyAlignment="1">
      <alignment vertical="center"/>
    </xf>
    <xf numFmtId="182" fontId="10" fillId="0" borderId="53" xfId="0" applyNumberFormat="1" applyFont="1" applyFill="1" applyBorder="1" applyAlignment="1">
      <alignment vertical="center"/>
    </xf>
    <xf numFmtId="182" fontId="6" fillId="0" borderId="54" xfId="0" applyNumberFormat="1" applyFont="1" applyFill="1" applyBorder="1" applyAlignment="1" applyProtection="1">
      <alignment vertical="center"/>
      <protection locked="0"/>
    </xf>
    <xf numFmtId="182" fontId="6" fillId="0" borderId="55" xfId="0" applyNumberFormat="1" applyFont="1" applyFill="1" applyBorder="1" applyAlignment="1" applyProtection="1">
      <alignment vertical="center"/>
      <protection locked="0"/>
    </xf>
    <xf numFmtId="182" fontId="8" fillId="0" borderId="54" xfId="0" applyNumberFormat="1" applyFont="1" applyFill="1" applyBorder="1" applyAlignment="1" applyProtection="1">
      <alignment vertical="center"/>
      <protection locked="0"/>
    </xf>
    <xf numFmtId="182" fontId="8" fillId="0" borderId="55" xfId="0" applyNumberFormat="1" applyFont="1" applyFill="1" applyBorder="1" applyAlignment="1" applyProtection="1">
      <alignment vertical="center"/>
      <protection locked="0"/>
    </xf>
    <xf numFmtId="182" fontId="10" fillId="0" borderId="54" xfId="0" applyNumberFormat="1" applyFont="1" applyFill="1" applyBorder="1" applyAlignment="1" applyProtection="1">
      <alignment vertical="center"/>
      <protection locked="0"/>
    </xf>
    <xf numFmtId="182" fontId="10" fillId="0" borderId="55" xfId="0" applyNumberFormat="1" applyFont="1" applyFill="1" applyBorder="1" applyAlignment="1" applyProtection="1">
      <alignment vertical="center"/>
      <protection locked="0"/>
    </xf>
    <xf numFmtId="182" fontId="6" fillId="0" borderId="54" xfId="0" applyNumberFormat="1" applyFont="1" applyFill="1" applyBorder="1" applyAlignment="1">
      <alignment vertical="center"/>
    </xf>
    <xf numFmtId="182" fontId="6" fillId="0" borderId="55" xfId="0" applyNumberFormat="1" applyFont="1" applyFill="1" applyBorder="1" applyAlignment="1">
      <alignment vertical="center"/>
    </xf>
    <xf numFmtId="182" fontId="6" fillId="0" borderId="55" xfId="51" applyNumberFormat="1" applyFont="1" applyFill="1" applyBorder="1" applyAlignment="1">
      <alignment vertical="center"/>
    </xf>
    <xf numFmtId="182" fontId="5" fillId="0" borderId="52" xfId="0" applyNumberFormat="1" applyFont="1" applyFill="1" applyBorder="1" applyAlignment="1">
      <alignment vertical="center"/>
    </xf>
    <xf numFmtId="182" fontId="5" fillId="0" borderId="53" xfId="0" applyNumberFormat="1" applyFont="1" applyFill="1" applyBorder="1" applyAlignment="1">
      <alignment vertical="center"/>
    </xf>
    <xf numFmtId="182" fontId="5" fillId="0" borderId="54" xfId="0" applyNumberFormat="1" applyFont="1" applyFill="1" applyBorder="1" applyAlignment="1" applyProtection="1">
      <alignment vertical="center"/>
      <protection locked="0"/>
    </xf>
    <xf numFmtId="182" fontId="5" fillId="0" borderId="55" xfId="0" applyNumberFormat="1" applyFont="1" applyFill="1" applyBorder="1" applyAlignment="1" applyProtection="1">
      <alignment vertical="center"/>
      <protection locked="0"/>
    </xf>
    <xf numFmtId="184" fontId="6" fillId="0" borderId="16" xfId="0" applyNumberFormat="1" applyFont="1" applyFill="1" applyBorder="1" applyAlignment="1" applyProtection="1">
      <alignment vertical="center"/>
      <protection locked="0"/>
    </xf>
    <xf numFmtId="184" fontId="6" fillId="0" borderId="53" xfId="0" applyNumberFormat="1" applyFont="1" applyFill="1" applyBorder="1" applyAlignment="1" applyProtection="1">
      <alignment vertical="center"/>
      <protection locked="0"/>
    </xf>
    <xf numFmtId="184" fontId="8" fillId="0" borderId="16" xfId="0" applyNumberFormat="1" applyFont="1" applyFill="1" applyBorder="1" applyAlignment="1" applyProtection="1">
      <alignment vertical="center"/>
      <protection locked="0"/>
    </xf>
    <xf numFmtId="184" fontId="8" fillId="0" borderId="53" xfId="0" applyNumberFormat="1" applyFont="1" applyFill="1" applyBorder="1" applyAlignment="1" applyProtection="1">
      <alignment vertical="center"/>
      <protection locked="0"/>
    </xf>
    <xf numFmtId="184" fontId="10" fillId="0" borderId="16" xfId="0" applyNumberFormat="1" applyFont="1" applyFill="1" applyBorder="1" applyAlignment="1" applyProtection="1">
      <alignment vertical="center"/>
      <protection locked="0"/>
    </xf>
    <xf numFmtId="184" fontId="10" fillId="0" borderId="53" xfId="0" applyNumberFormat="1" applyFont="1" applyFill="1" applyBorder="1" applyAlignment="1" applyProtection="1">
      <alignment vertical="center"/>
      <protection locked="0"/>
    </xf>
    <xf numFmtId="184" fontId="6" fillId="0" borderId="16" xfId="0" applyNumberFormat="1" applyFont="1" applyFill="1" applyBorder="1" applyAlignment="1">
      <alignment vertical="center"/>
    </xf>
    <xf numFmtId="184" fontId="6" fillId="0" borderId="53" xfId="0" applyNumberFormat="1" applyFont="1" applyFill="1" applyBorder="1" applyAlignment="1">
      <alignment vertical="center"/>
    </xf>
    <xf numFmtId="182" fontId="8" fillId="0" borderId="54" xfId="0" applyNumberFormat="1" applyFont="1" applyFill="1" applyBorder="1" applyAlignment="1">
      <alignment vertical="center"/>
    </xf>
    <xf numFmtId="182" fontId="8" fillId="0" borderId="55" xfId="51" applyNumberFormat="1" applyFont="1" applyFill="1" applyBorder="1" applyAlignment="1">
      <alignment vertical="center"/>
    </xf>
    <xf numFmtId="182" fontId="10" fillId="0" borderId="54" xfId="0" applyNumberFormat="1" applyFont="1" applyFill="1" applyBorder="1" applyAlignment="1">
      <alignment vertical="center"/>
    </xf>
    <xf numFmtId="182" fontId="10" fillId="0" borderId="55" xfId="51" applyNumberFormat="1" applyFont="1" applyFill="1" applyBorder="1" applyAlignment="1">
      <alignment vertical="center"/>
    </xf>
    <xf numFmtId="182" fontId="6" fillId="0" borderId="55" xfId="51" applyNumberFormat="1" applyFont="1" applyFill="1" applyBorder="1" applyAlignment="1" applyProtection="1">
      <alignment vertical="center"/>
      <protection locked="0"/>
    </xf>
    <xf numFmtId="182" fontId="6" fillId="0" borderId="53" xfId="51" applyNumberFormat="1" applyFont="1" applyFill="1" applyBorder="1" applyAlignment="1">
      <alignment vertical="center"/>
    </xf>
    <xf numFmtId="182" fontId="8" fillId="0" borderId="53" xfId="51" applyNumberFormat="1" applyFont="1" applyFill="1" applyBorder="1" applyAlignment="1">
      <alignment vertical="center"/>
    </xf>
    <xf numFmtId="182" fontId="10" fillId="0" borderId="53" xfId="51" applyNumberFormat="1" applyFont="1" applyFill="1" applyBorder="1" applyAlignment="1">
      <alignment vertical="center"/>
    </xf>
    <xf numFmtId="0" fontId="7" fillId="0" borderId="0" xfId="0" applyFont="1" applyBorder="1" applyAlignment="1">
      <alignment horizontal="center" vertical="center"/>
    </xf>
    <xf numFmtId="186" fontId="7" fillId="0" borderId="0" xfId="0" applyNumberFormat="1" applyFont="1" applyAlignment="1">
      <alignment vertical="center"/>
    </xf>
    <xf numFmtId="0" fontId="7" fillId="0" borderId="0" xfId="0" applyFont="1" applyBorder="1" applyAlignment="1">
      <alignment vertical="center"/>
    </xf>
    <xf numFmtId="0" fontId="7" fillId="0" borderId="0" xfId="0" applyFont="1" applyAlignment="1">
      <alignment horizontal="center" vertical="center"/>
    </xf>
    <xf numFmtId="202" fontId="12" fillId="0" borderId="15" xfId="0" applyNumberFormat="1" applyFont="1" applyFill="1" applyBorder="1" applyAlignment="1">
      <alignment horizontal="right" vertical="center" shrinkToFit="1"/>
    </xf>
    <xf numFmtId="180" fontId="6" fillId="0" borderId="26" xfId="49" applyNumberFormat="1" applyFont="1" applyFill="1" applyBorder="1" applyAlignment="1">
      <alignment vertical="center"/>
    </xf>
    <xf numFmtId="202" fontId="12" fillId="0" borderId="26" xfId="0" applyNumberFormat="1" applyFont="1" applyFill="1" applyBorder="1" applyAlignment="1">
      <alignment horizontal="right" vertical="center" shrinkToFit="1"/>
    </xf>
    <xf numFmtId="180" fontId="10" fillId="0" borderId="56" xfId="0" applyNumberFormat="1" applyFont="1" applyFill="1" applyBorder="1" applyAlignment="1">
      <alignment/>
    </xf>
    <xf numFmtId="180" fontId="10" fillId="0" borderId="57" xfId="0" applyNumberFormat="1" applyFont="1" applyFill="1" applyBorder="1" applyAlignment="1">
      <alignment/>
    </xf>
    <xf numFmtId="0" fontId="10" fillId="0" borderId="58" xfId="0" applyFont="1" applyFill="1" applyBorder="1" applyAlignment="1">
      <alignment horizontal="left" vertical="center"/>
    </xf>
    <xf numFmtId="185" fontId="27" fillId="0" borderId="18" xfId="62" applyNumberFormat="1" applyFont="1" applyFill="1" applyBorder="1" applyAlignment="1">
      <alignment horizontal="distributed" vertical="center"/>
      <protection/>
    </xf>
    <xf numFmtId="185" fontId="27" fillId="0" borderId="59" xfId="62" applyNumberFormat="1" applyFont="1" applyFill="1" applyBorder="1" applyAlignment="1">
      <alignment horizontal="center" vertical="center"/>
      <protection/>
    </xf>
    <xf numFmtId="0" fontId="6" fillId="0" borderId="12" xfId="0" applyFont="1" applyFill="1" applyBorder="1" applyAlignment="1">
      <alignment horizontal="center" vertical="center"/>
    </xf>
    <xf numFmtId="0" fontId="18" fillId="0" borderId="12" xfId="0" applyFont="1" applyFill="1" applyBorder="1" applyAlignment="1">
      <alignment horizontal="center" vertical="center"/>
    </xf>
    <xf numFmtId="0" fontId="10" fillId="0" borderId="60" xfId="0" applyFont="1" applyFill="1" applyBorder="1" applyAlignment="1">
      <alignment horizontal="left" vertical="center"/>
    </xf>
    <xf numFmtId="0" fontId="10" fillId="0" borderId="12" xfId="0" applyFont="1" applyFill="1" applyBorder="1" applyAlignment="1">
      <alignment horizontal="left" vertical="center"/>
    </xf>
    <xf numFmtId="0" fontId="6" fillId="0" borderId="12" xfId="0" applyFont="1" applyFill="1" applyBorder="1" applyAlignment="1">
      <alignment vertical="center"/>
    </xf>
    <xf numFmtId="0" fontId="10" fillId="0" borderId="12" xfId="0" applyFont="1" applyFill="1" applyBorder="1" applyAlignment="1">
      <alignment vertical="center"/>
    </xf>
    <xf numFmtId="0" fontId="6" fillId="0" borderId="14" xfId="0" applyFont="1" applyFill="1" applyBorder="1" applyAlignment="1">
      <alignment horizontal="left" vertical="center"/>
    </xf>
    <xf numFmtId="0" fontId="30" fillId="0" borderId="0" xfId="0" applyFont="1" applyFill="1" applyBorder="1" applyAlignment="1">
      <alignment horizontal="left" vertical="center"/>
    </xf>
    <xf numFmtId="0" fontId="6" fillId="0" borderId="38" xfId="0" applyFont="1" applyFill="1" applyBorder="1" applyAlignment="1">
      <alignment vertical="center" shrinkToFit="1"/>
    </xf>
    <xf numFmtId="0" fontId="10" fillId="0" borderId="38" xfId="0" applyFont="1" applyFill="1" applyBorder="1" applyAlignment="1">
      <alignment vertical="center" shrinkToFit="1"/>
    </xf>
    <xf numFmtId="0" fontId="10" fillId="0" borderId="28" xfId="0" applyFont="1" applyFill="1" applyBorder="1" applyAlignment="1">
      <alignment vertical="center" shrinkToFit="1"/>
    </xf>
    <xf numFmtId="0" fontId="6" fillId="0" borderId="32" xfId="0" applyFont="1" applyFill="1" applyBorder="1" applyAlignment="1">
      <alignment vertical="center" shrinkToFit="1"/>
    </xf>
    <xf numFmtId="185" fontId="27" fillId="0" borderId="34" xfId="49" applyNumberFormat="1" applyFont="1" applyFill="1" applyBorder="1" applyAlignment="1">
      <alignment vertical="center" shrinkToFit="1"/>
    </xf>
    <xf numFmtId="185" fontId="27" fillId="0" borderId="23" xfId="49" applyNumberFormat="1" applyFont="1" applyFill="1" applyBorder="1" applyAlignment="1">
      <alignment vertical="center" shrinkToFit="1"/>
    </xf>
    <xf numFmtId="185" fontId="27" fillId="0" borderId="25" xfId="49" applyNumberFormat="1" applyFont="1" applyFill="1" applyBorder="1" applyAlignment="1">
      <alignment vertical="center" shrinkToFit="1"/>
    </xf>
    <xf numFmtId="185" fontId="10" fillId="0" borderId="24" xfId="49" applyNumberFormat="1" applyFont="1" applyFill="1" applyBorder="1" applyAlignment="1">
      <alignment vertical="center" shrinkToFit="1"/>
    </xf>
    <xf numFmtId="185" fontId="10" fillId="0" borderId="36" xfId="62" applyNumberFormat="1" applyFont="1" applyFill="1" applyBorder="1" applyAlignment="1">
      <alignment vertical="center" shrinkToFit="1"/>
      <protection/>
    </xf>
    <xf numFmtId="185" fontId="27" fillId="0" borderId="16" xfId="62" applyNumberFormat="1" applyFont="1" applyFill="1" applyBorder="1" applyAlignment="1">
      <alignment vertical="center" shrinkToFit="1"/>
      <protection/>
    </xf>
    <xf numFmtId="185" fontId="27" fillId="0" borderId="61" xfId="49" applyNumberFormat="1" applyFont="1" applyFill="1" applyBorder="1" applyAlignment="1">
      <alignment vertical="center" shrinkToFit="1"/>
    </xf>
    <xf numFmtId="185" fontId="27" fillId="0" borderId="19" xfId="49" applyNumberFormat="1" applyFont="1" applyFill="1" applyBorder="1" applyAlignment="1">
      <alignment vertical="center" shrinkToFit="1"/>
    </xf>
    <xf numFmtId="185" fontId="27" fillId="0" borderId="21" xfId="62" applyNumberFormat="1" applyFont="1" applyFill="1" applyBorder="1" applyAlignment="1">
      <alignment vertical="center" shrinkToFit="1"/>
      <protection/>
    </xf>
    <xf numFmtId="185" fontId="27" fillId="0" borderId="45" xfId="62" applyNumberFormat="1" applyFont="1" applyFill="1" applyBorder="1" applyAlignment="1">
      <alignment vertical="center" shrinkToFit="1"/>
      <protection/>
    </xf>
    <xf numFmtId="185" fontId="27" fillId="0" borderId="37" xfId="62" applyNumberFormat="1" applyFont="1" applyFill="1" applyBorder="1" applyAlignment="1">
      <alignment vertical="center" shrinkToFit="1"/>
      <protection/>
    </xf>
    <xf numFmtId="185" fontId="27" fillId="0" borderId="24" xfId="62" applyNumberFormat="1" applyFont="1" applyFill="1" applyBorder="1" applyAlignment="1">
      <alignment/>
      <protection/>
    </xf>
    <xf numFmtId="185" fontId="10" fillId="0" borderId="33" xfId="62" applyNumberFormat="1" applyFont="1" applyFill="1" applyBorder="1" applyAlignment="1">
      <alignment vertical="center" shrinkToFit="1"/>
      <protection/>
    </xf>
    <xf numFmtId="185" fontId="10" fillId="0" borderId="22" xfId="62" applyNumberFormat="1" applyFont="1" applyFill="1" applyBorder="1" applyAlignment="1">
      <alignment vertical="center" shrinkToFit="1"/>
      <protection/>
    </xf>
    <xf numFmtId="185" fontId="27" fillId="0" borderId="21" xfId="49" applyNumberFormat="1" applyFont="1" applyFill="1" applyBorder="1" applyAlignment="1">
      <alignment horizontal="right" vertical="center" shrinkToFit="1"/>
    </xf>
    <xf numFmtId="185" fontId="27" fillId="0" borderId="39" xfId="62" applyNumberFormat="1" applyFont="1" applyFill="1" applyBorder="1" applyAlignment="1">
      <alignment vertical="center" shrinkToFit="1"/>
      <protection/>
    </xf>
    <xf numFmtId="185" fontId="27" fillId="0" borderId="36" xfId="62" applyNumberFormat="1" applyFont="1" applyFill="1" applyBorder="1" applyAlignment="1">
      <alignment vertical="center" shrinkToFit="1"/>
      <protection/>
    </xf>
    <xf numFmtId="180" fontId="12" fillId="0" borderId="15" xfId="49" applyNumberFormat="1" applyFont="1" applyFill="1" applyBorder="1" applyAlignment="1">
      <alignment vertical="center"/>
    </xf>
    <xf numFmtId="181" fontId="12" fillId="0" borderId="15" xfId="49" applyNumberFormat="1" applyFont="1" applyFill="1" applyBorder="1" applyAlignment="1">
      <alignment vertical="center"/>
    </xf>
    <xf numFmtId="0" fontId="6" fillId="0" borderId="0" xfId="63" applyFont="1" applyAlignment="1">
      <alignment vertical="center"/>
      <protection/>
    </xf>
    <xf numFmtId="185" fontId="25" fillId="0" borderId="0" xfId="62" applyNumberFormat="1" applyFont="1" applyAlignment="1">
      <alignment vertical="center"/>
      <protection/>
    </xf>
    <xf numFmtId="185" fontId="25" fillId="0" borderId="0" xfId="62" applyNumberFormat="1" applyFont="1" applyFill="1" applyBorder="1" applyAlignment="1">
      <alignment horizontal="distributed" vertical="center"/>
      <protection/>
    </xf>
    <xf numFmtId="185" fontId="25" fillId="0" borderId="0" xfId="49" applyNumberFormat="1" applyFont="1" applyFill="1" applyBorder="1" applyAlignment="1">
      <alignment vertical="center" shrinkToFit="1"/>
    </xf>
    <xf numFmtId="185" fontId="25" fillId="0" borderId="32" xfId="49" applyNumberFormat="1" applyFont="1" applyFill="1" applyBorder="1" applyAlignment="1">
      <alignment vertical="center" shrinkToFit="1"/>
    </xf>
    <xf numFmtId="185" fontId="25" fillId="0" borderId="27" xfId="49" applyNumberFormat="1" applyFont="1" applyFill="1" applyBorder="1" applyAlignment="1">
      <alignment vertical="center" shrinkToFit="1"/>
    </xf>
    <xf numFmtId="185" fontId="25" fillId="0" borderId="37" xfId="49" applyNumberFormat="1" applyFont="1" applyFill="1" applyBorder="1" applyAlignment="1">
      <alignment vertical="center" shrinkToFit="1"/>
    </xf>
    <xf numFmtId="198" fontId="25" fillId="0" borderId="27" xfId="49" applyNumberFormat="1" applyFont="1" applyFill="1" applyBorder="1" applyAlignment="1">
      <alignment vertical="center" shrinkToFit="1"/>
    </xf>
    <xf numFmtId="185" fontId="25" fillId="0" borderId="24" xfId="49" applyNumberFormat="1" applyFont="1" applyFill="1" applyBorder="1" applyAlignment="1">
      <alignment vertical="center" shrinkToFit="1"/>
    </xf>
    <xf numFmtId="185" fontId="25" fillId="0" borderId="42" xfId="49" applyNumberFormat="1" applyFont="1" applyFill="1" applyBorder="1" applyAlignment="1">
      <alignment vertical="center" shrinkToFit="1"/>
    </xf>
    <xf numFmtId="185" fontId="25" fillId="0" borderId="27" xfId="62" applyNumberFormat="1" applyFont="1" applyFill="1" applyBorder="1" applyAlignment="1">
      <alignment vertical="center" shrinkToFit="1"/>
      <protection/>
    </xf>
    <xf numFmtId="185" fontId="25" fillId="0" borderId="37" xfId="62" applyNumberFormat="1" applyFont="1" applyFill="1" applyBorder="1" applyAlignment="1">
      <alignment vertical="center" shrinkToFit="1"/>
      <protection/>
    </xf>
    <xf numFmtId="185" fontId="25" fillId="0" borderId="25" xfId="49" applyNumberFormat="1" applyFont="1" applyFill="1" applyBorder="1" applyAlignment="1">
      <alignment vertical="center" shrinkToFit="1"/>
    </xf>
    <xf numFmtId="185" fontId="25" fillId="0" borderId="27" xfId="49" applyNumberFormat="1" applyFont="1" applyFill="1" applyBorder="1" applyAlignment="1">
      <alignment horizontal="distributed" vertical="center" shrinkToFit="1"/>
    </xf>
    <xf numFmtId="185" fontId="25" fillId="0" borderId="24" xfId="62" applyNumberFormat="1" applyFont="1" applyFill="1" applyBorder="1" applyAlignment="1">
      <alignment horizontal="distributed" vertical="center"/>
      <protection/>
    </xf>
    <xf numFmtId="185" fontId="25" fillId="0" borderId="28" xfId="49" applyNumberFormat="1" applyFont="1" applyFill="1" applyBorder="1" applyAlignment="1">
      <alignment vertical="center" shrinkToFit="1"/>
    </xf>
    <xf numFmtId="185" fontId="25" fillId="0" borderId="36" xfId="49" applyNumberFormat="1" applyFont="1" applyFill="1" applyBorder="1" applyAlignment="1">
      <alignment vertical="center" shrinkToFit="1"/>
    </xf>
    <xf numFmtId="185" fontId="25" fillId="0" borderId="41" xfId="49" applyNumberFormat="1" applyFont="1" applyFill="1" applyBorder="1" applyAlignment="1">
      <alignment vertical="center" shrinkToFit="1"/>
    </xf>
    <xf numFmtId="185" fontId="25" fillId="0" borderId="39" xfId="49" applyNumberFormat="1" applyFont="1" applyFill="1" applyBorder="1" applyAlignment="1">
      <alignment vertical="center" shrinkToFit="1"/>
    </xf>
    <xf numFmtId="185" fontId="25" fillId="0" borderId="33" xfId="49" applyNumberFormat="1" applyFont="1" applyFill="1" applyBorder="1" applyAlignment="1">
      <alignment vertical="center" shrinkToFit="1"/>
    </xf>
    <xf numFmtId="185" fontId="25" fillId="0" borderId="0" xfId="62" applyNumberFormat="1" applyFont="1" applyFill="1" applyBorder="1" applyAlignment="1">
      <alignment vertical="center" shrinkToFit="1"/>
      <protection/>
    </xf>
    <xf numFmtId="185" fontId="25" fillId="0" borderId="0" xfId="49" applyNumberFormat="1" applyFont="1" applyFill="1" applyBorder="1" applyAlignment="1">
      <alignment horizontal="distributed" vertical="center" shrinkToFit="1"/>
    </xf>
    <xf numFmtId="185" fontId="25" fillId="0" borderId="34" xfId="49" applyNumberFormat="1" applyFont="1" applyFill="1" applyBorder="1" applyAlignment="1">
      <alignment vertical="center" shrinkToFit="1"/>
    </xf>
    <xf numFmtId="185" fontId="25" fillId="0" borderId="39" xfId="49" applyNumberFormat="1" applyFont="1" applyFill="1" applyBorder="1" applyAlignment="1">
      <alignment horizontal="distributed" vertical="center" shrinkToFit="1"/>
    </xf>
    <xf numFmtId="185" fontId="25" fillId="0" borderId="23" xfId="49" applyNumberFormat="1" applyFont="1" applyFill="1" applyBorder="1" applyAlignment="1">
      <alignment vertical="center" shrinkToFit="1"/>
    </xf>
    <xf numFmtId="185" fontId="27" fillId="0" borderId="42" xfId="62" applyNumberFormat="1" applyFont="1" applyFill="1" applyBorder="1" applyAlignment="1">
      <alignment vertical="center" shrinkToFit="1"/>
      <protection/>
    </xf>
    <xf numFmtId="49" fontId="25" fillId="0" borderId="0" xfId="62" applyNumberFormat="1" applyFont="1" applyAlignment="1">
      <alignment vertical="center"/>
      <protection/>
    </xf>
    <xf numFmtId="185" fontId="25" fillId="0" borderId="32" xfId="62" applyNumberFormat="1" applyFont="1" applyFill="1" applyBorder="1" applyAlignment="1">
      <alignment horizontal="distributed" vertical="center"/>
      <protection/>
    </xf>
    <xf numFmtId="185" fontId="25" fillId="0" borderId="22" xfId="49" applyNumberFormat="1" applyFont="1" applyFill="1" applyBorder="1" applyAlignment="1">
      <alignment vertical="center" shrinkToFit="1"/>
    </xf>
    <xf numFmtId="185" fontId="25" fillId="0" borderId="24" xfId="49" applyNumberFormat="1" applyFont="1" applyFill="1" applyBorder="1" applyAlignment="1">
      <alignment horizontal="distributed" vertical="center" shrinkToFit="1"/>
    </xf>
    <xf numFmtId="185" fontId="25" fillId="0" borderId="28" xfId="62" applyNumberFormat="1" applyFont="1" applyFill="1" applyBorder="1" applyAlignment="1">
      <alignment horizontal="distributed" vertical="center"/>
      <protection/>
    </xf>
    <xf numFmtId="185" fontId="27" fillId="0" borderId="22" xfId="49" applyNumberFormat="1" applyFont="1" applyFill="1" applyBorder="1" applyAlignment="1">
      <alignment horizontal="distributed" vertical="center" shrinkToFit="1"/>
    </xf>
    <xf numFmtId="185" fontId="25" fillId="0" borderId="0" xfId="62" applyNumberFormat="1" applyFont="1" applyFill="1" applyBorder="1" applyAlignment="1">
      <alignment horizontal="distributed" vertical="center" shrinkToFit="1"/>
      <protection/>
    </xf>
    <xf numFmtId="198" fontId="25" fillId="0" borderId="27" xfId="62" applyNumberFormat="1" applyFont="1" applyFill="1" applyBorder="1" applyAlignment="1">
      <alignment vertical="center" shrinkToFit="1"/>
      <protection/>
    </xf>
    <xf numFmtId="185" fontId="25" fillId="0" borderId="48" xfId="49" applyNumberFormat="1" applyFont="1" applyFill="1" applyBorder="1" applyAlignment="1">
      <alignment vertical="center" shrinkToFit="1"/>
    </xf>
    <xf numFmtId="185" fontId="25" fillId="0" borderId="62" xfId="49" applyNumberFormat="1" applyFont="1" applyFill="1" applyBorder="1" applyAlignment="1">
      <alignment vertical="center" shrinkToFit="1"/>
    </xf>
    <xf numFmtId="185" fontId="24" fillId="0" borderId="32" xfId="62" applyNumberFormat="1" applyFont="1" applyBorder="1" applyAlignment="1">
      <alignment vertical="center"/>
      <protection/>
    </xf>
    <xf numFmtId="185" fontId="24" fillId="0" borderId="42" xfId="62" applyNumberFormat="1" applyFont="1" applyBorder="1" applyAlignment="1">
      <alignment vertical="center"/>
      <protection/>
    </xf>
    <xf numFmtId="185" fontId="27" fillId="0" borderId="27" xfId="62" applyNumberFormat="1" applyFont="1" applyBorder="1" applyAlignment="1">
      <alignment vertical="center"/>
      <protection/>
    </xf>
    <xf numFmtId="185" fontId="24" fillId="0" borderId="37" xfId="62" applyNumberFormat="1" applyFont="1" applyBorder="1" applyAlignment="1">
      <alignment vertical="center"/>
      <protection/>
    </xf>
    <xf numFmtId="185" fontId="24" fillId="0" borderId="27" xfId="62" applyNumberFormat="1" applyFont="1" applyBorder="1" applyAlignment="1">
      <alignment vertical="center"/>
      <protection/>
    </xf>
    <xf numFmtId="185" fontId="24" fillId="0" borderId="24" xfId="62" applyNumberFormat="1" applyFont="1" applyBorder="1" applyAlignment="1">
      <alignment vertical="center"/>
      <protection/>
    </xf>
    <xf numFmtId="185" fontId="27" fillId="0" borderId="37" xfId="62" applyNumberFormat="1" applyFont="1" applyBorder="1" applyAlignment="1">
      <alignment vertical="center"/>
      <protection/>
    </xf>
    <xf numFmtId="185" fontId="27" fillId="0" borderId="24" xfId="62" applyNumberFormat="1" applyFont="1" applyBorder="1" applyAlignment="1">
      <alignment vertical="center"/>
      <protection/>
    </xf>
    <xf numFmtId="185" fontId="24" fillId="0" borderId="37" xfId="62" applyNumberFormat="1" applyFont="1" applyFill="1" applyBorder="1" applyAlignment="1">
      <alignment vertical="center"/>
      <protection/>
    </xf>
    <xf numFmtId="185" fontId="26" fillId="0" borderId="42" xfId="62" applyNumberFormat="1" applyFont="1" applyBorder="1" applyAlignment="1">
      <alignment vertical="center"/>
      <protection/>
    </xf>
    <xf numFmtId="185" fontId="26" fillId="0" borderId="27" xfId="62" applyNumberFormat="1" applyFont="1" applyBorder="1" applyAlignment="1">
      <alignment vertical="center"/>
      <protection/>
    </xf>
    <xf numFmtId="185" fontId="26" fillId="0" borderId="37" xfId="62" applyNumberFormat="1" applyFont="1" applyBorder="1" applyAlignment="1">
      <alignment vertical="center"/>
      <protection/>
    </xf>
    <xf numFmtId="185" fontId="26" fillId="0" borderId="24" xfId="62" applyNumberFormat="1" applyFont="1" applyBorder="1" applyAlignment="1">
      <alignment vertical="center"/>
      <protection/>
    </xf>
    <xf numFmtId="185" fontId="25" fillId="0" borderId="27" xfId="62" applyNumberFormat="1" applyFont="1" applyBorder="1" applyAlignment="1">
      <alignment vertical="center"/>
      <protection/>
    </xf>
    <xf numFmtId="185" fontId="26" fillId="0" borderId="25" xfId="62" applyNumberFormat="1" applyFont="1" applyBorder="1" applyAlignment="1">
      <alignment vertical="center"/>
      <protection/>
    </xf>
    <xf numFmtId="185" fontId="24" fillId="0" borderId="28" xfId="62" applyNumberFormat="1" applyFont="1" applyBorder="1" applyAlignment="1">
      <alignment vertical="center"/>
      <protection/>
    </xf>
    <xf numFmtId="185" fontId="25" fillId="0" borderId="36" xfId="62" applyNumberFormat="1" applyFont="1" applyBorder="1" applyAlignment="1">
      <alignment vertical="center"/>
      <protection/>
    </xf>
    <xf numFmtId="185" fontId="27" fillId="0" borderId="36" xfId="62" applyNumberFormat="1" applyFont="1" applyBorder="1" applyAlignment="1">
      <alignment vertical="center"/>
      <protection/>
    </xf>
    <xf numFmtId="185" fontId="24" fillId="0" borderId="36" xfId="62" applyNumberFormat="1" applyFont="1" applyBorder="1" applyAlignment="1">
      <alignment vertical="center"/>
      <protection/>
    </xf>
    <xf numFmtId="185" fontId="25" fillId="0" borderId="41" xfId="62" applyNumberFormat="1" applyFont="1" applyBorder="1" applyAlignment="1">
      <alignment vertical="center"/>
      <protection/>
    </xf>
    <xf numFmtId="185" fontId="25" fillId="0" borderId="39" xfId="62" applyNumberFormat="1" applyFont="1" applyBorder="1" applyAlignment="1">
      <alignment vertical="center"/>
      <protection/>
    </xf>
    <xf numFmtId="185" fontId="26" fillId="0" borderId="36" xfId="62" applyNumberFormat="1" applyFont="1" applyBorder="1" applyAlignment="1">
      <alignment vertical="center"/>
      <protection/>
    </xf>
    <xf numFmtId="185" fontId="25" fillId="0" borderId="33" xfId="62" applyNumberFormat="1" applyFont="1" applyBorder="1" applyAlignment="1">
      <alignment vertical="center"/>
      <protection/>
    </xf>
    <xf numFmtId="49" fontId="7" fillId="0" borderId="0" xfId="0" applyNumberFormat="1" applyFont="1" applyAlignment="1">
      <alignment horizontal="center" vertical="center"/>
    </xf>
    <xf numFmtId="0" fontId="6" fillId="0" borderId="34" xfId="0" applyFont="1" applyFill="1" applyBorder="1" applyAlignment="1">
      <alignment horizontal="center" vertical="center" wrapText="1"/>
    </xf>
    <xf numFmtId="0" fontId="6" fillId="0" borderId="39" xfId="0" applyFont="1" applyFill="1" applyBorder="1" applyAlignment="1">
      <alignment horizontal="center" vertical="center" wrapText="1"/>
    </xf>
    <xf numFmtId="0" fontId="6" fillId="0" borderId="36" xfId="0" applyFont="1" applyFill="1" applyBorder="1" applyAlignment="1">
      <alignment horizontal="center" vertical="center" wrapText="1"/>
    </xf>
    <xf numFmtId="0" fontId="0" fillId="0" borderId="63" xfId="0" applyFill="1" applyBorder="1" applyAlignment="1">
      <alignment horizontal="center" vertical="center"/>
    </xf>
    <xf numFmtId="0" fontId="6" fillId="0" borderId="63" xfId="0" applyFont="1" applyFill="1" applyBorder="1" applyAlignment="1">
      <alignment horizontal="center" vertical="center"/>
    </xf>
    <xf numFmtId="0" fontId="6" fillId="0" borderId="64" xfId="0" applyFont="1" applyFill="1" applyBorder="1" applyAlignment="1">
      <alignment horizontal="center" vertical="center"/>
    </xf>
    <xf numFmtId="0" fontId="0" fillId="0" borderId="23" xfId="0" applyFill="1" applyBorder="1" applyAlignment="1">
      <alignment horizontal="distributed" vertical="center"/>
    </xf>
    <xf numFmtId="0" fontId="6" fillId="0" borderId="65" xfId="0" applyFont="1" applyFill="1" applyBorder="1" applyAlignment="1">
      <alignment horizontal="distributed" vertical="center" wrapText="1"/>
    </xf>
    <xf numFmtId="0" fontId="7" fillId="0" borderId="66" xfId="0" applyFont="1" applyFill="1" applyBorder="1" applyAlignment="1">
      <alignment horizontal="distributed" vertical="center" wrapText="1"/>
    </xf>
    <xf numFmtId="0" fontId="6" fillId="0" borderId="67" xfId="0" applyFont="1" applyFill="1" applyBorder="1" applyAlignment="1">
      <alignment horizontal="center" vertical="center"/>
    </xf>
    <xf numFmtId="0" fontId="5" fillId="0" borderId="22" xfId="63" applyFont="1" applyFill="1" applyBorder="1" applyAlignment="1">
      <alignment horizontal="distributed" vertical="center"/>
      <protection/>
    </xf>
    <xf numFmtId="0" fontId="9" fillId="0" borderId="23" xfId="0" applyFont="1" applyFill="1" applyBorder="1" applyAlignment="1">
      <alignment horizontal="distributed" vertical="center"/>
    </xf>
    <xf numFmtId="0" fontId="6" fillId="0" borderId="22" xfId="63" applyFont="1" applyFill="1" applyBorder="1" applyAlignment="1">
      <alignment horizontal="distributed" vertical="center"/>
      <protection/>
    </xf>
    <xf numFmtId="0" fontId="6" fillId="0" borderId="23" xfId="63" applyFont="1" applyFill="1" applyBorder="1" applyAlignment="1">
      <alignment horizontal="distributed" vertical="center"/>
      <protection/>
    </xf>
    <xf numFmtId="0" fontId="0" fillId="0" borderId="23" xfId="0" applyFont="1" applyFill="1" applyBorder="1" applyAlignment="1">
      <alignment horizontal="distributed" vertical="center"/>
    </xf>
    <xf numFmtId="179" fontId="6" fillId="0" borderId="11" xfId="49" applyNumberFormat="1" applyFont="1" applyFill="1" applyBorder="1" applyAlignment="1">
      <alignment horizontal="center" vertical="center" wrapText="1"/>
    </xf>
    <xf numFmtId="179" fontId="6" fillId="0" borderId="68" xfId="49" applyNumberFormat="1" applyFont="1" applyFill="1" applyBorder="1" applyAlignment="1">
      <alignment horizontal="center" vertical="center" wrapText="1"/>
    </xf>
    <xf numFmtId="38" fontId="6" fillId="0" borderId="69" xfId="49" applyFont="1" applyFill="1" applyBorder="1" applyAlignment="1">
      <alignment horizontal="center" vertical="center"/>
    </xf>
    <xf numFmtId="0" fontId="6" fillId="0" borderId="33" xfId="63" applyFont="1" applyFill="1" applyBorder="1" applyAlignment="1">
      <alignment horizontal="center" vertical="center"/>
      <protection/>
    </xf>
    <xf numFmtId="0" fontId="7" fillId="0" borderId="34" xfId="0" applyFont="1" applyFill="1" applyBorder="1" applyAlignment="1">
      <alignment horizontal="center" vertical="center"/>
    </xf>
    <xf numFmtId="0" fontId="6" fillId="0" borderId="43" xfId="63" applyFont="1" applyFill="1" applyBorder="1" applyAlignment="1">
      <alignment horizontal="center" vertical="center"/>
      <protection/>
    </xf>
    <xf numFmtId="0" fontId="7" fillId="0" borderId="61" xfId="0" applyFont="1" applyFill="1" applyBorder="1" applyAlignment="1">
      <alignment horizontal="center" vertical="center"/>
    </xf>
    <xf numFmtId="0" fontId="6" fillId="0" borderId="18" xfId="63" applyFont="1" applyFill="1" applyBorder="1" applyAlignment="1">
      <alignment horizontal="distributed" vertical="center"/>
      <protection/>
    </xf>
    <xf numFmtId="0" fontId="6" fillId="0" borderId="19" xfId="63" applyFont="1" applyFill="1" applyBorder="1" applyAlignment="1">
      <alignment horizontal="distributed" vertical="center"/>
      <protection/>
    </xf>
    <xf numFmtId="179" fontId="6" fillId="0" borderId="69" xfId="49" applyNumberFormat="1" applyFont="1" applyFill="1" applyBorder="1" applyAlignment="1">
      <alignment horizontal="center" vertical="center"/>
    </xf>
    <xf numFmtId="179" fontId="6" fillId="0" borderId="10" xfId="49" applyNumberFormat="1" applyFont="1" applyFill="1" applyBorder="1" applyAlignment="1">
      <alignment horizontal="center" vertical="center"/>
    </xf>
    <xf numFmtId="0" fontId="6" fillId="0" borderId="33" xfId="0" applyFont="1" applyFill="1" applyBorder="1" applyAlignment="1">
      <alignment horizontal="center" vertical="center" wrapText="1"/>
    </xf>
    <xf numFmtId="0" fontId="7" fillId="0" borderId="34"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6" fillId="0" borderId="39" xfId="0" applyFont="1" applyFill="1" applyBorder="1" applyAlignment="1">
      <alignment horizontal="center" vertical="center"/>
    </xf>
    <xf numFmtId="0" fontId="7" fillId="0" borderId="45" xfId="0" applyFont="1" applyFill="1" applyBorder="1" applyAlignment="1">
      <alignment horizontal="center" vertical="center"/>
    </xf>
    <xf numFmtId="0" fontId="6" fillId="0" borderId="22" xfId="0" applyFont="1" applyFill="1" applyBorder="1" applyAlignment="1">
      <alignment horizontal="distributed" vertical="center"/>
    </xf>
    <xf numFmtId="0" fontId="7" fillId="0" borderId="23" xfId="0" applyFont="1" applyFill="1" applyBorder="1" applyAlignment="1">
      <alignment horizontal="distributed" vertical="center"/>
    </xf>
    <xf numFmtId="0" fontId="10" fillId="0" borderId="22" xfId="0" applyFont="1" applyFill="1" applyBorder="1" applyAlignment="1">
      <alignment horizontal="distributed" vertical="center"/>
    </xf>
    <xf numFmtId="0" fontId="10" fillId="0" borderId="23" xfId="0" applyFont="1" applyFill="1" applyBorder="1" applyAlignment="1">
      <alignment horizontal="distributed" vertical="center"/>
    </xf>
    <xf numFmtId="0" fontId="7" fillId="0" borderId="65" xfId="0" applyFont="1" applyFill="1" applyBorder="1" applyAlignment="1">
      <alignment horizontal="center" vertical="center" wrapText="1"/>
    </xf>
    <xf numFmtId="0" fontId="7" fillId="0" borderId="66" xfId="0" applyFont="1" applyFill="1" applyBorder="1" applyAlignment="1">
      <alignment horizontal="center" vertical="center" wrapText="1"/>
    </xf>
    <xf numFmtId="0" fontId="7" fillId="0" borderId="70" xfId="0" applyFont="1" applyFill="1" applyBorder="1" applyAlignment="1">
      <alignment horizontal="distributed" vertical="center" wrapText="1"/>
    </xf>
    <xf numFmtId="0" fontId="7" fillId="0" borderId="45" xfId="0" applyFont="1" applyFill="1" applyBorder="1" applyAlignment="1">
      <alignment horizontal="center" vertical="center" wrapText="1"/>
    </xf>
    <xf numFmtId="0" fontId="7" fillId="0" borderId="61" xfId="0" applyFont="1" applyFill="1" applyBorder="1" applyAlignment="1">
      <alignment horizontal="center" vertical="center" wrapText="1"/>
    </xf>
    <xf numFmtId="0" fontId="0" fillId="0" borderId="64" xfId="0" applyFill="1" applyBorder="1" applyAlignment="1">
      <alignment horizontal="center" vertical="center"/>
    </xf>
    <xf numFmtId="0" fontId="0" fillId="0" borderId="63" xfId="0" applyFill="1" applyBorder="1" applyAlignment="1">
      <alignment/>
    </xf>
    <xf numFmtId="0" fontId="0" fillId="0" borderId="64" xfId="0" applyFill="1" applyBorder="1" applyAlignment="1">
      <alignment/>
    </xf>
    <xf numFmtId="0" fontId="0" fillId="0" borderId="70" xfId="0" applyFill="1" applyBorder="1" applyAlignment="1">
      <alignment/>
    </xf>
    <xf numFmtId="0" fontId="0" fillId="0" borderId="66" xfId="0" applyFill="1" applyBorder="1" applyAlignment="1">
      <alignment/>
    </xf>
    <xf numFmtId="0" fontId="6" fillId="0" borderId="65" xfId="0" applyFont="1" applyFill="1" applyBorder="1" applyAlignment="1">
      <alignment horizontal="center" vertical="center" wrapText="1"/>
    </xf>
    <xf numFmtId="0" fontId="7" fillId="0" borderId="70" xfId="0" applyFont="1" applyFill="1" applyBorder="1" applyAlignment="1">
      <alignment horizontal="center" vertical="center" wrapText="1"/>
    </xf>
    <xf numFmtId="0" fontId="6" fillId="0" borderId="45" xfId="0" applyFont="1" applyFill="1" applyBorder="1" applyAlignment="1">
      <alignment horizontal="distributed" vertical="center"/>
    </xf>
    <xf numFmtId="0" fontId="7" fillId="0" borderId="61" xfId="0" applyFont="1" applyFill="1" applyBorder="1" applyAlignment="1">
      <alignment horizontal="distributed" vertical="center"/>
    </xf>
    <xf numFmtId="0" fontId="0" fillId="0" borderId="61" xfId="0" applyFill="1" applyBorder="1" applyAlignment="1">
      <alignment horizontal="center" vertical="center" wrapText="1"/>
    </xf>
    <xf numFmtId="0" fontId="6" fillId="0" borderId="67" xfId="0" applyFont="1" applyFill="1" applyBorder="1" applyAlignment="1">
      <alignment horizontal="distributed" vertical="center" wrapText="1"/>
    </xf>
    <xf numFmtId="0" fontId="7" fillId="0" borderId="71" xfId="0" applyFont="1" applyFill="1" applyBorder="1" applyAlignment="1">
      <alignment horizontal="distributed" vertical="center" wrapText="1"/>
    </xf>
    <xf numFmtId="0" fontId="7" fillId="0" borderId="64" xfId="0" applyFont="1" applyFill="1" applyBorder="1" applyAlignment="1">
      <alignment horizontal="distributed" vertical="center" wrapText="1"/>
    </xf>
    <xf numFmtId="0" fontId="6" fillId="0" borderId="33" xfId="0" applyFont="1" applyFill="1" applyBorder="1" applyAlignment="1">
      <alignment horizontal="distributed" vertical="center" wrapText="1"/>
    </xf>
    <xf numFmtId="0" fontId="7" fillId="0" borderId="34" xfId="0" applyFont="1" applyFill="1" applyBorder="1" applyAlignment="1">
      <alignment horizontal="distributed"/>
    </xf>
    <xf numFmtId="0" fontId="7" fillId="0" borderId="24" xfId="0" applyFont="1" applyFill="1" applyBorder="1" applyAlignment="1">
      <alignment horizontal="distributed"/>
    </xf>
    <xf numFmtId="0" fontId="7" fillId="0" borderId="25" xfId="0" applyFont="1" applyFill="1" applyBorder="1" applyAlignment="1">
      <alignment horizontal="distributed"/>
    </xf>
    <xf numFmtId="0" fontId="6" fillId="0" borderId="23" xfId="0" applyFont="1" applyFill="1" applyBorder="1" applyAlignment="1">
      <alignment horizontal="distributed" vertical="center"/>
    </xf>
    <xf numFmtId="0" fontId="7" fillId="0" borderId="63" xfId="0" applyFont="1" applyFill="1" applyBorder="1" applyAlignment="1">
      <alignment horizontal="distributed" vertical="center" wrapText="1"/>
    </xf>
    <xf numFmtId="0" fontId="10" fillId="0" borderId="72" xfId="0" applyFont="1" applyFill="1" applyBorder="1" applyAlignment="1">
      <alignment horizontal="distributed" vertical="center"/>
    </xf>
    <xf numFmtId="0" fontId="10" fillId="0" borderId="73" xfId="0" applyFont="1" applyFill="1" applyBorder="1" applyAlignment="1">
      <alignment horizontal="distributed" vertical="center"/>
    </xf>
    <xf numFmtId="0" fontId="10" fillId="0" borderId="24" xfId="0" applyFont="1" applyFill="1" applyBorder="1" applyAlignment="1">
      <alignment horizontal="distributed" vertical="center"/>
    </xf>
    <xf numFmtId="0" fontId="10" fillId="0" borderId="25" xfId="0" applyFont="1" applyFill="1" applyBorder="1" applyAlignment="1">
      <alignment horizontal="distributed" vertical="center"/>
    </xf>
    <xf numFmtId="185" fontId="27" fillId="0" borderId="0" xfId="62" applyNumberFormat="1" applyFont="1" applyAlignment="1">
      <alignment horizontal="left" vertical="center"/>
      <protection/>
    </xf>
    <xf numFmtId="185" fontId="10" fillId="0" borderId="41" xfId="62" applyNumberFormat="1" applyFont="1" applyFill="1" applyBorder="1" applyAlignment="1">
      <alignment horizontal="distributed" vertical="center" wrapText="1"/>
      <protection/>
    </xf>
    <xf numFmtId="185" fontId="10" fillId="0" borderId="33" xfId="62" applyNumberFormat="1" applyFont="1" applyFill="1" applyBorder="1" applyAlignment="1">
      <alignment horizontal="distributed" vertical="center"/>
      <protection/>
    </xf>
    <xf numFmtId="185" fontId="27" fillId="0" borderId="28" xfId="62" applyNumberFormat="1" applyFont="1" applyFill="1" applyBorder="1" applyAlignment="1">
      <alignment horizontal="distributed" vertical="center"/>
      <protection/>
    </xf>
    <xf numFmtId="185" fontId="27" fillId="0" borderId="74" xfId="62" applyNumberFormat="1" applyFont="1" applyFill="1" applyBorder="1" applyAlignment="1">
      <alignment horizontal="distributed" vertical="center"/>
      <protection/>
    </xf>
    <xf numFmtId="185" fontId="27" fillId="0" borderId="22" xfId="62" applyNumberFormat="1" applyFont="1" applyFill="1" applyBorder="1" applyAlignment="1">
      <alignment horizontal="distributed" vertical="center"/>
      <protection/>
    </xf>
    <xf numFmtId="185" fontId="27" fillId="0" borderId="0" xfId="62" applyNumberFormat="1" applyFont="1" applyFill="1" applyBorder="1" applyAlignment="1">
      <alignment horizontal="distributed" vertical="center"/>
      <protection/>
    </xf>
    <xf numFmtId="185" fontId="27" fillId="0" borderId="40" xfId="62" applyNumberFormat="1" applyFont="1" applyFill="1" applyBorder="1" applyAlignment="1">
      <alignment horizontal="distributed" vertical="center"/>
      <protection/>
    </xf>
    <xf numFmtId="185" fontId="10" fillId="0" borderId="41" xfId="62" applyNumberFormat="1" applyFont="1" applyFill="1" applyBorder="1">
      <alignment/>
      <protection/>
    </xf>
    <xf numFmtId="185" fontId="10" fillId="0" borderId="24" xfId="62" applyNumberFormat="1" applyFont="1" applyFill="1" applyBorder="1">
      <alignment/>
      <protection/>
    </xf>
    <xf numFmtId="185" fontId="10" fillId="0" borderId="42" xfId="62" applyNumberFormat="1" applyFont="1" applyFill="1" applyBorder="1">
      <alignment/>
      <protection/>
    </xf>
    <xf numFmtId="185" fontId="27" fillId="0" borderId="47" xfId="62" applyNumberFormat="1" applyFont="1" applyFill="1" applyBorder="1" applyAlignment="1">
      <alignment horizontal="distributed" vertical="center"/>
      <protection/>
    </xf>
    <xf numFmtId="185" fontId="27" fillId="0" borderId="18" xfId="62" applyNumberFormat="1" applyFont="1" applyFill="1" applyBorder="1" applyAlignment="1">
      <alignment horizontal="distributed" vertical="center"/>
      <protection/>
    </xf>
    <xf numFmtId="185" fontId="27" fillId="0" borderId="43" xfId="62" applyNumberFormat="1" applyFont="1" applyFill="1" applyBorder="1" applyAlignment="1">
      <alignment horizontal="distributed" vertical="center"/>
      <protection/>
    </xf>
    <xf numFmtId="185" fontId="10" fillId="0" borderId="41" xfId="62" applyNumberFormat="1" applyFont="1" applyFill="1" applyBorder="1" applyAlignment="1">
      <alignment horizontal="distributed" vertical="center"/>
      <protection/>
    </xf>
    <xf numFmtId="185" fontId="10" fillId="0" borderId="24" xfId="62" applyNumberFormat="1" applyFont="1" applyFill="1" applyBorder="1" applyAlignment="1">
      <alignment horizontal="distributed" vertical="center"/>
      <protection/>
    </xf>
    <xf numFmtId="185" fontId="10" fillId="0" borderId="42" xfId="62" applyNumberFormat="1" applyFont="1" applyFill="1" applyBorder="1" applyAlignment="1">
      <alignment horizontal="distributed" vertical="center"/>
      <protection/>
    </xf>
    <xf numFmtId="185" fontId="27" fillId="0" borderId="62" xfId="62" applyNumberFormat="1" applyFont="1" applyFill="1" applyBorder="1" applyAlignment="1">
      <alignment horizontal="distributed" vertical="center"/>
      <protection/>
    </xf>
    <xf numFmtId="185" fontId="27" fillId="0" borderId="32" xfId="62" applyNumberFormat="1" applyFont="1" applyFill="1" applyBorder="1" applyAlignment="1">
      <alignment horizontal="distributed" vertical="center"/>
      <protection/>
    </xf>
    <xf numFmtId="185" fontId="27" fillId="0" borderId="59" xfId="62" applyNumberFormat="1" applyFont="1" applyFill="1" applyBorder="1" applyAlignment="1">
      <alignment horizontal="center" vertical="center"/>
      <protection/>
    </xf>
    <xf numFmtId="185" fontId="27" fillId="0" borderId="63" xfId="62" applyNumberFormat="1" applyFont="1" applyFill="1" applyBorder="1" applyAlignment="1">
      <alignment horizontal="center" vertical="center"/>
      <protection/>
    </xf>
    <xf numFmtId="185" fontId="27" fillId="0" borderId="71" xfId="62" applyNumberFormat="1" applyFont="1" applyFill="1" applyBorder="1" applyAlignment="1">
      <alignment horizontal="center" vertical="center"/>
      <protection/>
    </xf>
    <xf numFmtId="185" fontId="27" fillId="0" borderId="65" xfId="62" applyNumberFormat="1" applyFont="1" applyFill="1" applyBorder="1" applyAlignment="1">
      <alignment horizontal="center" vertical="center"/>
      <protection/>
    </xf>
    <xf numFmtId="185" fontId="27" fillId="0" borderId="70" xfId="62" applyNumberFormat="1" applyFont="1" applyFill="1" applyBorder="1" applyAlignment="1">
      <alignment horizontal="center" vertical="center"/>
      <protection/>
    </xf>
    <xf numFmtId="185" fontId="27" fillId="0" borderId="66" xfId="62" applyNumberFormat="1" applyFont="1" applyFill="1" applyBorder="1" applyAlignment="1">
      <alignment horizontal="center" vertical="center"/>
      <protection/>
    </xf>
    <xf numFmtId="185" fontId="27" fillId="0" borderId="21" xfId="62" applyNumberFormat="1" applyFont="1" applyFill="1" applyBorder="1" applyAlignment="1">
      <alignment horizontal="distributed" vertical="center"/>
      <protection/>
    </xf>
    <xf numFmtId="185" fontId="27" fillId="0" borderId="46" xfId="62" applyNumberFormat="1" applyFont="1" applyFill="1" applyBorder="1" applyAlignment="1">
      <alignment horizontal="distributed" vertical="center"/>
      <protection/>
    </xf>
    <xf numFmtId="185" fontId="27" fillId="0" borderId="47" xfId="62" applyNumberFormat="1" applyFont="1" applyFill="1" applyBorder="1" applyAlignment="1">
      <alignment horizontal="distributed" vertical="center"/>
      <protection/>
    </xf>
    <xf numFmtId="185" fontId="27" fillId="0" borderId="37" xfId="62" applyNumberFormat="1" applyFont="1" applyFill="1" applyBorder="1" applyAlignment="1">
      <alignment horizontal="distributed" vertical="center"/>
      <protection/>
    </xf>
    <xf numFmtId="185" fontId="27" fillId="0" borderId="27" xfId="62" applyNumberFormat="1" applyFont="1" applyFill="1" applyBorder="1" applyAlignment="1">
      <alignment horizontal="distributed" vertical="center"/>
      <protection/>
    </xf>
    <xf numFmtId="185" fontId="27" fillId="0" borderId="42" xfId="62" applyNumberFormat="1" applyFont="1" applyFill="1" applyBorder="1" applyAlignment="1">
      <alignment horizontal="distributed" vertical="center"/>
      <protection/>
    </xf>
    <xf numFmtId="185" fontId="27" fillId="0" borderId="18" xfId="62" applyNumberFormat="1" applyFont="1" applyFill="1" applyBorder="1" applyAlignment="1">
      <alignment horizontal="distributed" vertical="center"/>
      <protection/>
    </xf>
    <xf numFmtId="185" fontId="27" fillId="0" borderId="19" xfId="62" applyNumberFormat="1" applyFont="1" applyFill="1" applyBorder="1" applyAlignment="1">
      <alignment horizontal="distributed" vertical="center"/>
      <protection/>
    </xf>
    <xf numFmtId="185" fontId="27" fillId="0" borderId="24" xfId="62" applyNumberFormat="1" applyFont="1" applyFill="1" applyBorder="1" applyAlignment="1">
      <alignment horizontal="distributed" vertical="center"/>
      <protection/>
    </xf>
    <xf numFmtId="185" fontId="27" fillId="0" borderId="25" xfId="62" applyNumberFormat="1" applyFont="1" applyFill="1" applyBorder="1" applyAlignment="1">
      <alignment horizontal="distributed" vertical="center"/>
      <protection/>
    </xf>
    <xf numFmtId="185" fontId="27" fillId="0" borderId="30" xfId="62" applyNumberFormat="1" applyFont="1" applyFill="1" applyBorder="1" applyAlignment="1">
      <alignment horizontal="center" vertical="center"/>
      <protection/>
    </xf>
    <xf numFmtId="185" fontId="27" fillId="0" borderId="75" xfId="62" applyNumberFormat="1" applyFont="1" applyFill="1" applyBorder="1" applyAlignment="1">
      <alignment horizontal="center" vertical="center"/>
      <protection/>
    </xf>
    <xf numFmtId="185" fontId="27" fillId="0" borderId="29" xfId="62" applyNumberFormat="1" applyFont="1" applyFill="1" applyBorder="1" applyAlignment="1">
      <alignment horizontal="center" vertical="center"/>
      <protection/>
    </xf>
    <xf numFmtId="185" fontId="27" fillId="0" borderId="28" xfId="49" applyNumberFormat="1" applyFont="1" applyFill="1" applyBorder="1" applyAlignment="1">
      <alignment horizontal="center" vertical="center"/>
    </xf>
    <xf numFmtId="185" fontId="27" fillId="0" borderId="32" xfId="49" applyNumberFormat="1" applyFont="1" applyFill="1" applyBorder="1" applyAlignment="1">
      <alignment horizontal="center" vertical="center"/>
    </xf>
    <xf numFmtId="185" fontId="10" fillId="0" borderId="28" xfId="49" applyNumberFormat="1" applyFont="1" applyFill="1" applyBorder="1" applyAlignment="1">
      <alignment horizontal="center" vertical="center"/>
    </xf>
    <xf numFmtId="185" fontId="10" fillId="0" borderId="32" xfId="49" applyNumberFormat="1" applyFont="1" applyFill="1" applyBorder="1" applyAlignment="1">
      <alignment horizontal="center" vertical="center"/>
    </xf>
    <xf numFmtId="185" fontId="27" fillId="0" borderId="38" xfId="62" applyNumberFormat="1" applyFont="1" applyFill="1" applyBorder="1" applyAlignment="1">
      <alignment horizontal="distributed" vertical="center"/>
      <protection/>
    </xf>
    <xf numFmtId="185" fontId="27" fillId="0" borderId="76" xfId="62" applyNumberFormat="1" applyFont="1" applyFill="1" applyBorder="1" applyAlignment="1">
      <alignment horizontal="distributed" vertical="center"/>
      <protection/>
    </xf>
    <xf numFmtId="185" fontId="27" fillId="0" borderId="48" xfId="62" applyNumberFormat="1" applyFont="1" applyFill="1" applyBorder="1" applyAlignment="1">
      <alignment horizontal="distributed" vertical="center"/>
      <protection/>
    </xf>
    <xf numFmtId="185" fontId="27" fillId="0" borderId="33" xfId="62" applyNumberFormat="1" applyFont="1" applyFill="1" applyBorder="1" applyAlignment="1">
      <alignment horizontal="distributed" vertical="center"/>
      <protection/>
    </xf>
    <xf numFmtId="185" fontId="27" fillId="0" borderId="41" xfId="62" applyNumberFormat="1" applyFont="1" applyFill="1" applyBorder="1" applyAlignment="1">
      <alignment horizontal="distributed" vertical="center"/>
      <protection/>
    </xf>
    <xf numFmtId="185" fontId="27" fillId="0" borderId="24" xfId="62" applyNumberFormat="1" applyFont="1" applyFill="1" applyBorder="1" applyAlignment="1">
      <alignment horizontal="distributed" vertical="center"/>
      <protection/>
    </xf>
    <xf numFmtId="185" fontId="27" fillId="0" borderId="42" xfId="62" applyNumberFormat="1" applyFont="1" applyFill="1" applyBorder="1" applyAlignment="1">
      <alignment horizontal="distributed" vertical="center"/>
      <protection/>
    </xf>
    <xf numFmtId="185" fontId="27" fillId="0" borderId="46" xfId="62" applyNumberFormat="1" applyFont="1" applyFill="1" applyBorder="1" applyAlignment="1">
      <alignment horizontal="distributed" vertical="center"/>
      <protection/>
    </xf>
    <xf numFmtId="185" fontId="27" fillId="0" borderId="44" xfId="62" applyNumberFormat="1" applyFont="1" applyFill="1" applyBorder="1" applyAlignment="1">
      <alignment horizontal="distributed" vertical="center"/>
      <protection/>
    </xf>
    <xf numFmtId="185" fontId="27" fillId="0" borderId="59" xfId="62" applyNumberFormat="1" applyFont="1" applyFill="1" applyBorder="1" applyAlignment="1">
      <alignment horizontal="distributed" vertical="center"/>
      <protection/>
    </xf>
    <xf numFmtId="185" fontId="27" fillId="0" borderId="63" xfId="62" applyNumberFormat="1" applyFont="1" applyFill="1" applyBorder="1" applyAlignment="1">
      <alignment horizontal="distributed" vertical="center"/>
      <protection/>
    </xf>
    <xf numFmtId="185" fontId="27" fillId="0" borderId="71" xfId="62" applyNumberFormat="1" applyFont="1" applyFill="1" applyBorder="1" applyAlignment="1">
      <alignment horizontal="distributed" vertical="center"/>
      <protection/>
    </xf>
    <xf numFmtId="185" fontId="27" fillId="0" borderId="33" xfId="49" applyNumberFormat="1" applyFont="1" applyFill="1" applyBorder="1" applyAlignment="1">
      <alignment horizontal="distributed" vertical="center"/>
    </xf>
    <xf numFmtId="185" fontId="27" fillId="0" borderId="41" xfId="49" applyNumberFormat="1" applyFont="1" applyFill="1" applyBorder="1" applyAlignment="1">
      <alignment horizontal="distributed" vertical="center"/>
    </xf>
    <xf numFmtId="185" fontId="27" fillId="0" borderId="24" xfId="49" applyNumberFormat="1" applyFont="1" applyFill="1" applyBorder="1" applyAlignment="1">
      <alignment horizontal="distributed" vertical="center"/>
    </xf>
    <xf numFmtId="185" fontId="27" fillId="0" borderId="42" xfId="49" applyNumberFormat="1" applyFont="1" applyFill="1" applyBorder="1" applyAlignment="1">
      <alignment horizontal="distributed" vertical="center"/>
    </xf>
    <xf numFmtId="185" fontId="10" fillId="0" borderId="22" xfId="62" applyNumberFormat="1" applyFont="1" applyFill="1" applyBorder="1" applyAlignment="1">
      <alignment horizontal="distributed" vertical="center"/>
      <protection/>
    </xf>
    <xf numFmtId="185" fontId="10" fillId="0" borderId="40" xfId="62" applyNumberFormat="1" applyFont="1" applyFill="1" applyBorder="1" applyAlignment="1">
      <alignment horizontal="distributed" vertical="center"/>
      <protection/>
    </xf>
    <xf numFmtId="185" fontId="27" fillId="0" borderId="33" xfId="62" applyNumberFormat="1" applyFont="1" applyFill="1" applyBorder="1" applyAlignment="1">
      <alignment horizontal="distributed" vertical="center"/>
      <protection/>
    </xf>
    <xf numFmtId="185" fontId="27" fillId="0" borderId="41" xfId="62" applyNumberFormat="1" applyFont="1" applyFill="1" applyBorder="1" applyAlignment="1">
      <alignment horizontal="distributed" vertical="center"/>
      <protection/>
    </xf>
    <xf numFmtId="185" fontId="27" fillId="0" borderId="22" xfId="49" applyNumberFormat="1" applyFont="1" applyFill="1" applyBorder="1" applyAlignment="1">
      <alignment horizontal="distributed" vertical="center"/>
    </xf>
    <xf numFmtId="185" fontId="27" fillId="0" borderId="40" xfId="49" applyNumberFormat="1" applyFont="1" applyFill="1" applyBorder="1" applyAlignment="1">
      <alignment horizontal="distributed" vertical="center"/>
    </xf>
    <xf numFmtId="185" fontId="9" fillId="0" borderId="42" xfId="0" applyNumberFormat="1" applyFont="1" applyFill="1" applyBorder="1" applyAlignment="1">
      <alignment horizontal="distributed" vertical="center"/>
    </xf>
    <xf numFmtId="185" fontId="25" fillId="0" borderId="33" xfId="62" applyNumberFormat="1" applyFont="1" applyFill="1" applyBorder="1" applyAlignment="1">
      <alignment horizontal="distributed" vertical="center"/>
      <protection/>
    </xf>
    <xf numFmtId="185" fontId="25" fillId="0" borderId="24" xfId="62" applyNumberFormat="1" applyFont="1" applyFill="1" applyBorder="1" applyAlignment="1">
      <alignment horizontal="distributed" vertical="center"/>
      <protection/>
    </xf>
    <xf numFmtId="185" fontId="27" fillId="0" borderId="22" xfId="62" applyNumberFormat="1" applyFont="1" applyFill="1" applyBorder="1" applyAlignment="1">
      <alignment horizontal="distributed" vertical="center"/>
      <protection/>
    </xf>
    <xf numFmtId="185" fontId="27" fillId="0" borderId="40" xfId="62" applyNumberFormat="1" applyFont="1" applyFill="1" applyBorder="1" applyAlignment="1">
      <alignment horizontal="distributed" vertical="center"/>
      <protection/>
    </xf>
    <xf numFmtId="185" fontId="27" fillId="0" borderId="33" xfId="62" applyNumberFormat="1" applyFont="1" applyFill="1" applyBorder="1" applyAlignment="1">
      <alignment horizontal="center" vertical="center"/>
      <protection/>
    </xf>
    <xf numFmtId="185" fontId="27" fillId="0" borderId="36" xfId="62" applyNumberFormat="1" applyFont="1" applyFill="1" applyBorder="1" applyAlignment="1">
      <alignment horizontal="center" vertical="center"/>
      <protection/>
    </xf>
    <xf numFmtId="185" fontId="9" fillId="0" borderId="24" xfId="0" applyNumberFormat="1" applyFont="1" applyFill="1" applyBorder="1" applyAlignment="1">
      <alignment horizontal="distributed" vertical="center"/>
    </xf>
    <xf numFmtId="185" fontId="24" fillId="0" borderId="37" xfId="62" applyNumberFormat="1" applyFont="1" applyFill="1" applyBorder="1" applyAlignment="1">
      <alignment horizontal="distributed" vertical="center"/>
      <protection/>
    </xf>
    <xf numFmtId="185" fontId="24" fillId="0" borderId="27" xfId="62" applyNumberFormat="1" applyFont="1" applyFill="1" applyBorder="1" applyAlignment="1">
      <alignment horizontal="distributed" vertical="center"/>
      <protection/>
    </xf>
    <xf numFmtId="185" fontId="24" fillId="0" borderId="42" xfId="62" applyNumberFormat="1" applyFont="1" applyFill="1" applyBorder="1" applyAlignment="1">
      <alignment horizontal="distributed" vertical="center"/>
      <protection/>
    </xf>
    <xf numFmtId="185" fontId="27" fillId="0" borderId="28" xfId="62" applyNumberFormat="1" applyFont="1" applyFill="1" applyBorder="1" applyAlignment="1">
      <alignment horizontal="center" vertical="center"/>
      <protection/>
    </xf>
    <xf numFmtId="185" fontId="27" fillId="0" borderId="32" xfId="62" applyNumberFormat="1" applyFont="1" applyFill="1" applyBorder="1" applyAlignment="1">
      <alignment horizontal="center" vertical="center"/>
      <protection/>
    </xf>
    <xf numFmtId="185" fontId="27" fillId="0" borderId="62" xfId="62" applyNumberFormat="1" applyFont="1" applyFill="1" applyBorder="1" applyAlignment="1">
      <alignment vertical="center"/>
      <protection/>
    </xf>
    <xf numFmtId="185" fontId="27" fillId="0" borderId="74" xfId="62" applyNumberFormat="1" applyFont="1" applyFill="1" applyBorder="1" applyAlignment="1">
      <alignment vertical="center"/>
      <protection/>
    </xf>
    <xf numFmtId="185" fontId="24" fillId="0" borderId="22" xfId="62" applyNumberFormat="1" applyFont="1" applyFill="1" applyBorder="1" applyAlignment="1">
      <alignment horizontal="distributed" vertical="center"/>
      <protection/>
    </xf>
    <xf numFmtId="185" fontId="24" fillId="0" borderId="40" xfId="62" applyNumberFormat="1" applyFont="1" applyFill="1" applyBorder="1" applyAlignment="1">
      <alignment horizontal="distributed" vertical="center"/>
      <protection/>
    </xf>
    <xf numFmtId="185" fontId="24" fillId="0" borderId="24" xfId="62" applyNumberFormat="1" applyFont="1" applyFill="1" applyBorder="1" applyAlignment="1">
      <alignment horizontal="distributed" vertical="center"/>
      <protection/>
    </xf>
    <xf numFmtId="185" fontId="24" fillId="0" borderId="25" xfId="62" applyNumberFormat="1" applyFont="1" applyFill="1" applyBorder="1" applyAlignment="1">
      <alignment horizontal="distributed" vertical="center"/>
      <protection/>
    </xf>
    <xf numFmtId="185" fontId="27" fillId="0" borderId="38" xfId="62" applyNumberFormat="1" applyFont="1" applyFill="1" applyBorder="1" applyAlignment="1">
      <alignment horizontal="distributed" vertical="center" shrinkToFit="1"/>
      <protection/>
    </xf>
    <xf numFmtId="185" fontId="28" fillId="0" borderId="24" xfId="0" applyNumberFormat="1" applyFont="1" applyFill="1" applyBorder="1" applyAlignment="1">
      <alignment horizontal="distributed" vertical="center"/>
    </xf>
    <xf numFmtId="185" fontId="28" fillId="0" borderId="42" xfId="0" applyNumberFormat="1" applyFont="1" applyFill="1" applyBorder="1" applyAlignment="1">
      <alignment horizontal="distributed" vertical="center"/>
    </xf>
    <xf numFmtId="185" fontId="27" fillId="0" borderId="38" xfId="62" applyNumberFormat="1" applyFont="1" applyFill="1" applyBorder="1" applyAlignment="1">
      <alignment vertical="center"/>
      <protection/>
    </xf>
    <xf numFmtId="185" fontId="27" fillId="0" borderId="77" xfId="62" applyNumberFormat="1" applyFont="1" applyFill="1" applyBorder="1" applyAlignment="1">
      <alignment vertical="center"/>
      <protection/>
    </xf>
    <xf numFmtId="185" fontId="27" fillId="0" borderId="62" xfId="62" applyNumberFormat="1" applyFont="1" applyFill="1" applyBorder="1" applyAlignment="1">
      <alignment horizontal="distributed" vertical="center" shrinkToFit="1"/>
      <protection/>
    </xf>
    <xf numFmtId="185" fontId="27" fillId="0" borderId="74" xfId="62" applyNumberFormat="1" applyFont="1" applyFill="1" applyBorder="1" applyAlignment="1">
      <alignment horizontal="distributed" vertical="center" shrinkToFit="1"/>
      <protection/>
    </xf>
    <xf numFmtId="185" fontId="27" fillId="0" borderId="32" xfId="62" applyNumberFormat="1" applyFont="1" applyFill="1" applyBorder="1" applyAlignment="1">
      <alignment horizontal="distributed" vertical="center" shrinkToFit="1"/>
      <protection/>
    </xf>
    <xf numFmtId="185" fontId="27" fillId="0" borderId="32" xfId="62" applyNumberFormat="1" applyFont="1" applyFill="1" applyBorder="1" applyAlignment="1">
      <alignment vertical="center"/>
      <protection/>
    </xf>
    <xf numFmtId="185" fontId="27" fillId="0" borderId="28" xfId="62" applyNumberFormat="1" applyFont="1" applyFill="1" applyBorder="1" applyAlignment="1">
      <alignment vertical="center"/>
      <protection/>
    </xf>
    <xf numFmtId="185" fontId="27" fillId="0" borderId="28" xfId="62" applyNumberFormat="1" applyFont="1" applyFill="1" applyBorder="1" applyAlignment="1">
      <alignment horizontal="distributed" vertical="center" shrinkToFit="1"/>
      <protection/>
    </xf>
    <xf numFmtId="185" fontId="10" fillId="0" borderId="40" xfId="62" applyNumberFormat="1" applyFont="1" applyFill="1" applyBorder="1" applyAlignment="1">
      <alignment horizontal="distributed" vertical="center" wrapText="1"/>
      <protection/>
    </xf>
    <xf numFmtId="0" fontId="6" fillId="0" borderId="11" xfId="0" applyFont="1" applyFill="1" applyBorder="1" applyAlignment="1">
      <alignment horizontal="center" vertical="center"/>
    </xf>
    <xf numFmtId="0" fontId="6" fillId="0" borderId="68" xfId="0" applyFont="1" applyFill="1" applyBorder="1" applyAlignment="1">
      <alignment horizontal="center" vertical="center"/>
    </xf>
    <xf numFmtId="0" fontId="6" fillId="0" borderId="65" xfId="0" applyFont="1" applyFill="1" applyBorder="1" applyAlignment="1">
      <alignment horizontal="center" vertical="center"/>
    </xf>
    <xf numFmtId="0" fontId="6" fillId="0" borderId="66" xfId="0" applyFont="1" applyFill="1" applyBorder="1" applyAlignment="1">
      <alignment horizontal="center" vertical="center"/>
    </xf>
    <xf numFmtId="0" fontId="6" fillId="0" borderId="45" xfId="0" applyFont="1" applyFill="1" applyBorder="1" applyAlignment="1">
      <alignment horizontal="center" vertical="center"/>
    </xf>
    <xf numFmtId="0" fontId="6" fillId="0" borderId="61" xfId="0" applyFont="1" applyFill="1" applyBorder="1" applyAlignment="1">
      <alignment horizontal="center" vertical="center"/>
    </xf>
    <xf numFmtId="0" fontId="29" fillId="0" borderId="45" xfId="0" applyFont="1" applyFill="1" applyBorder="1" applyAlignment="1">
      <alignment horizontal="center" vertical="center"/>
    </xf>
    <xf numFmtId="0" fontId="29" fillId="0" borderId="61" xfId="0" applyFont="1" applyFill="1" applyBorder="1" applyAlignment="1">
      <alignment horizontal="center" vertical="center"/>
    </xf>
    <xf numFmtId="0" fontId="6" fillId="0" borderId="33" xfId="0" applyFont="1" applyFill="1" applyBorder="1" applyAlignment="1">
      <alignment horizontal="center" vertical="center"/>
    </xf>
    <xf numFmtId="0" fontId="6" fillId="0" borderId="34" xfId="0" applyFont="1" applyFill="1" applyBorder="1" applyAlignment="1">
      <alignment horizontal="center" vertical="center"/>
    </xf>
    <xf numFmtId="0" fontId="6" fillId="0" borderId="43" xfId="0" applyFont="1" applyFill="1" applyBorder="1" applyAlignment="1">
      <alignment horizontal="center" vertical="center"/>
    </xf>
    <xf numFmtId="0" fontId="29" fillId="0" borderId="67" xfId="0" applyFont="1" applyFill="1" applyBorder="1" applyAlignment="1">
      <alignment horizontal="center" vertical="center"/>
    </xf>
    <xf numFmtId="0" fontId="29" fillId="0" borderId="63" xfId="0" applyFont="1" applyFill="1" applyBorder="1" applyAlignment="1">
      <alignment horizontal="center" vertical="center"/>
    </xf>
    <xf numFmtId="0" fontId="29" fillId="0" borderId="64" xfId="0" applyFont="1" applyFill="1" applyBorder="1" applyAlignment="1">
      <alignment horizontal="center" vertical="center"/>
    </xf>
    <xf numFmtId="0" fontId="6" fillId="0" borderId="76" xfId="0" applyFont="1" applyFill="1" applyBorder="1" applyAlignment="1">
      <alignment vertical="center"/>
    </xf>
    <xf numFmtId="0" fontId="6" fillId="0" borderId="66" xfId="0" applyFont="1" applyFill="1" applyBorder="1" applyAlignment="1">
      <alignment vertical="center"/>
    </xf>
    <xf numFmtId="38" fontId="6" fillId="0" borderId="65" xfId="51" applyFont="1" applyFill="1" applyBorder="1" applyAlignment="1">
      <alignment vertical="center"/>
    </xf>
    <xf numFmtId="38" fontId="6" fillId="0" borderId="66" xfId="51" applyFont="1" applyFill="1" applyBorder="1" applyAlignment="1">
      <alignment vertical="center"/>
    </xf>
    <xf numFmtId="38" fontId="29" fillId="0" borderId="65" xfId="51" applyFont="1" applyFill="1" applyBorder="1" applyAlignment="1">
      <alignment vertical="center"/>
    </xf>
    <xf numFmtId="0" fontId="29" fillId="0" borderId="66" xfId="0" applyFont="1" applyFill="1" applyBorder="1" applyAlignment="1">
      <alignment vertical="center"/>
    </xf>
    <xf numFmtId="38" fontId="29" fillId="0" borderId="66" xfId="51" applyFont="1" applyFill="1" applyBorder="1" applyAlignment="1">
      <alignment vertical="center"/>
    </xf>
    <xf numFmtId="0" fontId="6" fillId="0" borderId="76" xfId="0" applyFont="1" applyFill="1" applyBorder="1" applyAlignment="1">
      <alignment horizontal="center" vertical="center"/>
    </xf>
    <xf numFmtId="191" fontId="29" fillId="0" borderId="65" xfId="51" applyNumberFormat="1" applyFont="1" applyFill="1" applyBorder="1" applyAlignment="1">
      <alignment vertical="center"/>
    </xf>
    <xf numFmtId="191" fontId="29" fillId="0" borderId="66" xfId="51" applyNumberFormat="1" applyFont="1" applyFill="1" applyBorder="1" applyAlignment="1">
      <alignment vertical="center"/>
    </xf>
    <xf numFmtId="191" fontId="6" fillId="0" borderId="65" xfId="51" applyNumberFormat="1" applyFont="1" applyFill="1" applyBorder="1" applyAlignment="1">
      <alignment vertical="center"/>
    </xf>
    <xf numFmtId="191" fontId="6" fillId="0" borderId="66" xfId="51" applyNumberFormat="1" applyFont="1" applyFill="1" applyBorder="1" applyAlignment="1">
      <alignment vertical="center"/>
    </xf>
    <xf numFmtId="38" fontId="6" fillId="0" borderId="30" xfId="51" applyFont="1" applyFill="1" applyBorder="1" applyAlignment="1">
      <alignment vertical="center"/>
    </xf>
    <xf numFmtId="38" fontId="6" fillId="0" borderId="29" xfId="51" applyFont="1" applyFill="1" applyBorder="1" applyAlignment="1">
      <alignment vertical="center"/>
    </xf>
    <xf numFmtId="38" fontId="29" fillId="0" borderId="30" xfId="51" applyFont="1" applyFill="1" applyBorder="1" applyAlignment="1">
      <alignment vertical="center"/>
    </xf>
    <xf numFmtId="38" fontId="29" fillId="0" borderId="29" xfId="51" applyFont="1" applyFill="1" applyBorder="1" applyAlignment="1">
      <alignment vertical="center"/>
    </xf>
    <xf numFmtId="0" fontId="6" fillId="0" borderId="20" xfId="0" applyFont="1" applyFill="1" applyBorder="1" applyAlignment="1">
      <alignment horizontal="distributed" vertical="center" wrapText="1"/>
    </xf>
    <xf numFmtId="0" fontId="6" fillId="0" borderId="17" xfId="0" applyFont="1" applyFill="1" applyBorder="1" applyAlignment="1">
      <alignment horizontal="distributed" vertical="center" wrapText="1"/>
    </xf>
    <xf numFmtId="0" fontId="6" fillId="0" borderId="21"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78" xfId="0" applyFont="1" applyFill="1" applyBorder="1" applyAlignment="1">
      <alignment horizontal="center" vertical="center"/>
    </xf>
    <xf numFmtId="0" fontId="6" fillId="0" borderId="79" xfId="0" applyFont="1" applyFill="1" applyBorder="1" applyAlignment="1">
      <alignment horizontal="center" vertical="center"/>
    </xf>
    <xf numFmtId="0" fontId="6" fillId="0" borderId="80" xfId="0" applyFont="1" applyFill="1" applyBorder="1" applyAlignment="1">
      <alignment horizontal="center" vertical="center"/>
    </xf>
    <xf numFmtId="0" fontId="6" fillId="0" borderId="29" xfId="0" applyFont="1" applyFill="1" applyBorder="1" applyAlignment="1">
      <alignment horizontal="center" vertical="center"/>
    </xf>
    <xf numFmtId="0" fontId="5" fillId="0" borderId="78" xfId="0" applyFont="1" applyFill="1" applyBorder="1" applyAlignment="1">
      <alignment horizontal="center" vertical="center"/>
    </xf>
    <xf numFmtId="0" fontId="5" fillId="0" borderId="79" xfId="0" applyFont="1" applyFill="1" applyBorder="1" applyAlignment="1">
      <alignment horizontal="center" vertical="center"/>
    </xf>
    <xf numFmtId="185" fontId="24" fillId="0" borderId="0" xfId="62" applyNumberFormat="1" applyFont="1" applyAlignment="1">
      <alignment horizontal="left" vertical="center"/>
      <protection/>
    </xf>
    <xf numFmtId="0" fontId="0" fillId="0" borderId="0" xfId="0" applyFont="1" applyAlignment="1">
      <alignment horizontal="left" vertical="center"/>
    </xf>
    <xf numFmtId="185" fontId="24" fillId="0" borderId="63" xfId="62" applyNumberFormat="1" applyFont="1" applyFill="1" applyBorder="1">
      <alignment/>
      <protection/>
    </xf>
    <xf numFmtId="185" fontId="24" fillId="0" borderId="71" xfId="62" applyNumberFormat="1" applyFont="1" applyFill="1" applyBorder="1">
      <alignment/>
      <protection/>
    </xf>
    <xf numFmtId="185" fontId="0" fillId="0" borderId="24" xfId="0" applyNumberFormat="1" applyFont="1" applyFill="1" applyBorder="1" applyAlignment="1">
      <alignment horizontal="distributed" vertical="center"/>
    </xf>
    <xf numFmtId="185" fontId="0" fillId="0" borderId="42" xfId="0" applyNumberFormat="1" applyFont="1" applyFill="1" applyBorder="1" applyAlignment="1">
      <alignment horizontal="distributed" vertical="center"/>
    </xf>
    <xf numFmtId="185" fontId="27" fillId="0" borderId="0" xfId="49" applyNumberFormat="1" applyFont="1" applyFill="1" applyBorder="1" applyAlignment="1">
      <alignment vertical="center" shrinkToFit="1"/>
    </xf>
    <xf numFmtId="0" fontId="0" fillId="0" borderId="48" xfId="0" applyFont="1" applyBorder="1" applyAlignment="1">
      <alignment horizontal="distributed" vertical="center"/>
    </xf>
    <xf numFmtId="185" fontId="27" fillId="0" borderId="44" xfId="49" applyNumberFormat="1" applyFont="1" applyFill="1" applyBorder="1" applyAlignment="1">
      <alignment vertical="center" shrinkToFit="1"/>
    </xf>
    <xf numFmtId="198" fontId="27" fillId="0" borderId="44" xfId="49" applyNumberFormat="1" applyFont="1" applyFill="1" applyBorder="1" applyAlignment="1">
      <alignment vertical="center" shrinkToFit="1"/>
    </xf>
    <xf numFmtId="185" fontId="24" fillId="0" borderId="0" xfId="62" applyNumberFormat="1" applyFont="1" applyBorder="1" applyAlignment="1">
      <alignment vertical="center"/>
      <protection/>
    </xf>
    <xf numFmtId="0" fontId="0" fillId="0" borderId="0" xfId="0" applyFont="1" applyAlignment="1">
      <alignment/>
    </xf>
    <xf numFmtId="185" fontId="27" fillId="0" borderId="27" xfId="49" applyNumberFormat="1" applyFont="1" applyFill="1" applyBorder="1" applyAlignment="1">
      <alignment vertical="center" shrinkToFit="1"/>
    </xf>
    <xf numFmtId="185" fontId="0" fillId="0" borderId="32" xfId="0" applyNumberFormat="1" applyFont="1" applyFill="1" applyBorder="1" applyAlignment="1">
      <alignment horizontal="distributed" vertical="center"/>
    </xf>
    <xf numFmtId="185" fontId="27" fillId="0" borderId="46" xfId="49" applyNumberFormat="1" applyFont="1" applyFill="1" applyBorder="1" applyAlignment="1">
      <alignment vertical="center" shrinkToFit="1"/>
    </xf>
    <xf numFmtId="0" fontId="0" fillId="0" borderId="74" xfId="0" applyFont="1" applyBorder="1" applyAlignment="1">
      <alignment vertical="center"/>
    </xf>
    <xf numFmtId="0" fontId="0" fillId="0" borderId="43" xfId="0" applyFont="1" applyBorder="1" applyAlignment="1">
      <alignment horizontal="distributed" vertical="center"/>
    </xf>
    <xf numFmtId="0" fontId="0" fillId="0" borderId="24" xfId="0" applyFont="1" applyBorder="1" applyAlignment="1">
      <alignment horizontal="distributed" vertical="center"/>
    </xf>
    <xf numFmtId="0" fontId="0" fillId="0" borderId="42" xfId="0" applyFont="1" applyBorder="1" applyAlignment="1">
      <alignment horizontal="distributed" vertical="center"/>
    </xf>
    <xf numFmtId="185" fontId="0" fillId="0" borderId="74" xfId="0" applyNumberFormat="1" applyFont="1" applyFill="1" applyBorder="1" applyAlignment="1">
      <alignment vertical="center"/>
    </xf>
    <xf numFmtId="185" fontId="0" fillId="0" borderId="74" xfId="0" applyNumberFormat="1" applyFont="1" applyFill="1" applyBorder="1" applyAlignment="1">
      <alignment horizontal="distributed" vertical="center"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05-4保安林現況表(H14年版)" xfId="62"/>
    <cellStyle name="標準_林業統計書５－１（H１1）"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25" b="1" i="0" u="none" baseline="0">
                <a:solidFill>
                  <a:srgbClr val="000000"/>
                </a:solidFill>
                <a:latin typeface="ＭＳ Ｐゴシック"/>
                <a:ea typeface="ＭＳ Ｐゴシック"/>
                <a:cs typeface="ＭＳ Ｐゴシック"/>
              </a:rPr>
              <a:t>治山事業の推移</a:t>
            </a:r>
          </a:p>
        </c:rich>
      </c:tx>
      <c:layout>
        <c:manualLayout>
          <c:xMode val="factor"/>
          <c:yMode val="factor"/>
          <c:x val="-0.00475"/>
          <c:y val="0"/>
        </c:manualLayout>
      </c:layout>
      <c:spPr>
        <a:noFill/>
        <a:ln>
          <a:noFill/>
        </a:ln>
      </c:spPr>
    </c:title>
    <c:plotArea>
      <c:layout>
        <c:manualLayout>
          <c:xMode val="edge"/>
          <c:yMode val="edge"/>
          <c:x val="0.0015"/>
          <c:y val="0.044"/>
          <c:w val="0.9985"/>
          <c:h val="0.923"/>
        </c:manualLayout>
      </c:layout>
      <c:barChart>
        <c:barDir val="col"/>
        <c:grouping val="clustered"/>
        <c:varyColors val="0"/>
        <c:ser>
          <c:idx val="0"/>
          <c:order val="0"/>
          <c:tx>
            <c:strRef>
              <c:f>'5-1荒廃地発生・復旧 '!$M$34</c:f>
              <c:strCache>
                <c:ptCount val="1"/>
                <c:pt idx="0">
                  <c:v>公共治山</c:v>
                </c:pt>
              </c:strCache>
            </c:strRef>
          </c:tx>
          <c:spPr>
            <a:no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0"/>
            <c:txPr>
              <a:bodyPr vert="horz" rot="0" anchor="ctr"/>
              <a:lstStyle/>
              <a:p>
                <a:pPr algn="ctr">
                  <a:defRPr lang="en-US" cap="none" sz="800" b="1"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Percent val="0"/>
          </c:dLbls>
          <c:cat>
            <c:numRef>
              <c:f>'5-1荒廃地発生・復旧 '!$L$35:$L$49</c:f>
              <c:numCache/>
            </c:numRef>
          </c:cat>
          <c:val>
            <c:numRef>
              <c:f>'5-1荒廃地発生・復旧 '!$M$35:$M$49</c:f>
              <c:numCache/>
            </c:numRef>
          </c:val>
        </c:ser>
        <c:ser>
          <c:idx val="1"/>
          <c:order val="1"/>
          <c:tx>
            <c:strRef>
              <c:f>'5-1荒廃地発生・復旧 '!$N$34</c:f>
              <c:strCache>
                <c:ptCount val="1"/>
                <c:pt idx="0">
                  <c:v>県単治山</c:v>
                </c:pt>
              </c:strCache>
            </c:strRef>
          </c:tx>
          <c:spPr>
            <a:pattFill prst="pct75">
              <a:fgClr>
                <a:srgbClr val="FFFFFF"/>
              </a:fgClr>
              <a:bgClr>
                <a:srgbClr val="000000"/>
              </a:bgClr>
            </a:patt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800" b="1"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1"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1"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1"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1"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1"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00" b="1"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00" b="1"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800" b="1"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800" b="1"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800" b="1"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800" b="1"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800" b="1"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1"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Percent val="0"/>
          </c:dLbls>
          <c:cat>
            <c:numRef>
              <c:f>'5-1荒廃地発生・復旧 '!$L$35:$L$49</c:f>
              <c:numCache/>
            </c:numRef>
          </c:cat>
          <c:val>
            <c:numRef>
              <c:f>'5-1荒廃地発生・復旧 '!$N$35:$N$49</c:f>
              <c:numCache/>
            </c:numRef>
          </c:val>
        </c:ser>
        <c:axId val="66750797"/>
        <c:axId val="63886262"/>
      </c:barChart>
      <c:catAx>
        <c:axId val="66750797"/>
        <c:scaling>
          <c:orientation val="minMax"/>
        </c:scaling>
        <c:axPos val="b"/>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年度</a:t>
                </a:r>
              </a:p>
            </c:rich>
          </c:tx>
          <c:layout>
            <c:manualLayout>
              <c:xMode val="factor"/>
              <c:yMode val="factor"/>
              <c:x val="0.003"/>
              <c:y val="0.1187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63886262"/>
        <c:crosses val="autoZero"/>
        <c:auto val="1"/>
        <c:lblOffset val="100"/>
        <c:tickLblSkip val="1"/>
        <c:noMultiLvlLbl val="0"/>
      </c:catAx>
      <c:valAx>
        <c:axId val="63886262"/>
        <c:scaling>
          <c:orientation val="minMax"/>
          <c:max val="140"/>
          <c:min val="0"/>
        </c:scaling>
        <c:axPos val="l"/>
        <c:title>
          <c:tx>
            <c:rich>
              <a:bodyPr vert="horz" rot="180000" anchor="ctr"/>
              <a:lstStyle/>
              <a:p>
                <a:pPr algn="ctr">
                  <a:defRPr/>
                </a:pPr>
                <a:r>
                  <a:rPr lang="en-US" cap="none" sz="800" b="0" i="0" u="none" baseline="0">
                    <a:solidFill>
                      <a:srgbClr val="000000"/>
                    </a:solidFill>
                    <a:latin typeface="ＭＳ Ｐゴシック"/>
                    <a:ea typeface="ＭＳ Ｐゴシック"/>
                    <a:cs typeface="ＭＳ Ｐゴシック"/>
                  </a:rPr>
                  <a:t>億円</a:t>
                </a:r>
              </a:p>
            </c:rich>
          </c:tx>
          <c:layout>
            <c:manualLayout>
              <c:xMode val="factor"/>
              <c:yMode val="factor"/>
              <c:x val="0.01475"/>
              <c:y val="0.13775"/>
            </c:manualLayout>
          </c:layout>
          <c:overlay val="0"/>
          <c:spPr>
            <a:noFill/>
            <a:ln>
              <a:noFill/>
            </a:ln>
          </c:spPr>
        </c:title>
        <c:delete val="0"/>
        <c:numFmt formatCode="#,##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66750797"/>
        <c:crossesAt val="1"/>
        <c:crossBetween val="between"/>
        <c:dispUnits/>
      </c:valAx>
      <c:spPr>
        <a:noFill/>
        <a:ln>
          <a:noFill/>
        </a:ln>
      </c:spPr>
    </c:plotArea>
    <c:legend>
      <c:legendPos val="r"/>
      <c:layout>
        <c:manualLayout>
          <c:xMode val="edge"/>
          <c:yMode val="edge"/>
          <c:x val="0.756"/>
          <c:y val="0.011"/>
          <c:w val="0.22475"/>
          <c:h val="0.054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425"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27</xdr:row>
      <xdr:rowOff>161925</xdr:rowOff>
    </xdr:from>
    <xdr:to>
      <xdr:col>6</xdr:col>
      <xdr:colOff>1162050</xdr:colOff>
      <xdr:row>55</xdr:row>
      <xdr:rowOff>0</xdr:rowOff>
    </xdr:to>
    <xdr:graphicFrame>
      <xdr:nvGraphicFramePr>
        <xdr:cNvPr id="1" name="Chart 1"/>
        <xdr:cNvGraphicFramePr/>
      </xdr:nvGraphicFramePr>
      <xdr:xfrm>
        <a:off x="0" y="6191250"/>
        <a:ext cx="6019800" cy="45243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N54"/>
  <sheetViews>
    <sheetView showGridLines="0" zoomScalePageLayoutView="0" workbookViewId="0" topLeftCell="A25">
      <selection activeCell="I24" sqref="I24"/>
    </sheetView>
  </sheetViews>
  <sheetFormatPr defaultColWidth="9.00390625" defaultRowHeight="13.5"/>
  <cols>
    <col min="1" max="1" width="5.625" style="12" customWidth="1"/>
    <col min="2" max="2" width="10.625" style="12" customWidth="1"/>
    <col min="3" max="3" width="10.625" style="15" customWidth="1"/>
    <col min="4" max="4" width="15.625" style="15" customWidth="1"/>
    <col min="5" max="6" width="10.625" style="10" customWidth="1"/>
    <col min="7" max="7" width="15.625" style="10" customWidth="1"/>
    <col min="8" max="16384" width="9.00390625" style="12" customWidth="1"/>
  </cols>
  <sheetData>
    <row r="1" spans="1:7" s="6" customFormat="1" ht="14.25" customHeight="1">
      <c r="A1" s="1" t="s">
        <v>8</v>
      </c>
      <c r="B1" s="2"/>
      <c r="C1" s="3"/>
      <c r="D1" s="4"/>
      <c r="E1" s="5"/>
      <c r="F1" s="5"/>
      <c r="G1" s="5"/>
    </row>
    <row r="2" spans="1:7" ht="12" customHeight="1" thickBot="1">
      <c r="A2" s="7"/>
      <c r="B2" s="7"/>
      <c r="C2" s="8"/>
      <c r="D2" s="9"/>
      <c r="F2" s="11"/>
      <c r="G2" s="10" t="s">
        <v>9</v>
      </c>
    </row>
    <row r="3" spans="1:7" ht="18" customHeight="1">
      <c r="A3" s="519" t="s">
        <v>10</v>
      </c>
      <c r="B3" s="520"/>
      <c r="C3" s="518" t="s">
        <v>11</v>
      </c>
      <c r="D3" s="518"/>
      <c r="E3" s="518"/>
      <c r="F3" s="525" t="s">
        <v>12</v>
      </c>
      <c r="G3" s="516" t="s">
        <v>13</v>
      </c>
    </row>
    <row r="4" spans="1:7" ht="18" customHeight="1">
      <c r="A4" s="521"/>
      <c r="B4" s="522"/>
      <c r="C4" s="168" t="s">
        <v>14</v>
      </c>
      <c r="D4" s="168" t="s">
        <v>15</v>
      </c>
      <c r="E4" s="169" t="s">
        <v>16</v>
      </c>
      <c r="F4" s="526"/>
      <c r="G4" s="517"/>
    </row>
    <row r="5" spans="1:7" ht="18" customHeight="1">
      <c r="A5" s="523" t="s">
        <v>27</v>
      </c>
      <c r="B5" s="524"/>
      <c r="C5" s="170">
        <v>30</v>
      </c>
      <c r="D5" s="170">
        <v>635300</v>
      </c>
      <c r="E5" s="171">
        <v>10.4</v>
      </c>
      <c r="F5" s="171">
        <v>111.2</v>
      </c>
      <c r="G5" s="172">
        <v>5823.3</v>
      </c>
    </row>
    <row r="6" spans="1:7" ht="18" customHeight="1">
      <c r="A6" s="513" t="s">
        <v>0</v>
      </c>
      <c r="B6" s="514"/>
      <c r="C6" s="170">
        <v>3</v>
      </c>
      <c r="D6" s="170">
        <v>20000</v>
      </c>
      <c r="E6" s="171">
        <v>0.2</v>
      </c>
      <c r="F6" s="171">
        <v>114.4</v>
      </c>
      <c r="G6" s="172">
        <v>5714.1</v>
      </c>
    </row>
    <row r="7" spans="1:7" ht="18" customHeight="1">
      <c r="A7" s="513" t="s">
        <v>1</v>
      </c>
      <c r="B7" s="514"/>
      <c r="C7" s="170">
        <v>6</v>
      </c>
      <c r="D7" s="170">
        <v>166000</v>
      </c>
      <c r="E7" s="171">
        <v>0.9</v>
      </c>
      <c r="F7" s="171">
        <v>103.2</v>
      </c>
      <c r="G7" s="172">
        <v>5611.8</v>
      </c>
    </row>
    <row r="8" spans="1:7" ht="18" customHeight="1">
      <c r="A8" s="513" t="s">
        <v>2</v>
      </c>
      <c r="B8" s="514"/>
      <c r="C8" s="170">
        <v>20</v>
      </c>
      <c r="D8" s="170">
        <v>1644100</v>
      </c>
      <c r="E8" s="171">
        <v>200.27</v>
      </c>
      <c r="F8" s="171">
        <v>84.1</v>
      </c>
      <c r="G8" s="172">
        <v>5727.97</v>
      </c>
    </row>
    <row r="9" spans="1:7" ht="18" customHeight="1">
      <c r="A9" s="513" t="s">
        <v>3</v>
      </c>
      <c r="B9" s="514"/>
      <c r="C9" s="170">
        <v>219</v>
      </c>
      <c r="D9" s="170">
        <v>4626700</v>
      </c>
      <c r="E9" s="171">
        <v>37.99</v>
      </c>
      <c r="F9" s="171">
        <v>104.1</v>
      </c>
      <c r="G9" s="172">
        <v>5661.86</v>
      </c>
    </row>
    <row r="10" spans="1:7" ht="18" customHeight="1">
      <c r="A10" s="513" t="s">
        <v>4</v>
      </c>
      <c r="B10" s="514"/>
      <c r="C10" s="170">
        <v>177</v>
      </c>
      <c r="D10" s="170">
        <v>5085800</v>
      </c>
      <c r="E10" s="171">
        <v>39.3</v>
      </c>
      <c r="F10" s="171">
        <v>68.2</v>
      </c>
      <c r="G10" s="172">
        <v>5632.96</v>
      </c>
    </row>
    <row r="11" spans="1:7" ht="18" customHeight="1">
      <c r="A11" s="513" t="s">
        <v>5</v>
      </c>
      <c r="B11" s="514"/>
      <c r="C11" s="170">
        <v>87</v>
      </c>
      <c r="D11" s="170">
        <v>2240930</v>
      </c>
      <c r="E11" s="171">
        <v>15.8</v>
      </c>
      <c r="F11" s="171">
        <v>66</v>
      </c>
      <c r="G11" s="172">
        <v>5582.8</v>
      </c>
    </row>
    <row r="12" spans="1:7" ht="18" customHeight="1">
      <c r="A12" s="513" t="s">
        <v>6</v>
      </c>
      <c r="B12" s="514"/>
      <c r="C12" s="170">
        <v>118</v>
      </c>
      <c r="D12" s="170">
        <v>2247180</v>
      </c>
      <c r="E12" s="171">
        <v>17.4</v>
      </c>
      <c r="F12" s="171">
        <v>81.8</v>
      </c>
      <c r="G12" s="172">
        <v>5518.4</v>
      </c>
    </row>
    <row r="13" spans="1:7" ht="18" customHeight="1">
      <c r="A13" s="513" t="s">
        <v>7</v>
      </c>
      <c r="B13" s="514"/>
      <c r="C13" s="170">
        <v>59</v>
      </c>
      <c r="D13" s="170">
        <v>1468900</v>
      </c>
      <c r="E13" s="171">
        <v>11</v>
      </c>
      <c r="F13" s="171">
        <v>82.9</v>
      </c>
      <c r="G13" s="172">
        <v>5446.5</v>
      </c>
    </row>
    <row r="14" spans="1:7" ht="18" customHeight="1">
      <c r="A14" s="513" t="s">
        <v>28</v>
      </c>
      <c r="B14" s="514"/>
      <c r="C14" s="170">
        <v>16</v>
      </c>
      <c r="D14" s="170">
        <v>354700</v>
      </c>
      <c r="E14" s="171">
        <v>4.2</v>
      </c>
      <c r="F14" s="171">
        <v>58.6</v>
      </c>
      <c r="G14" s="172">
        <v>5392.1</v>
      </c>
    </row>
    <row r="15" spans="1:7" ht="18" customHeight="1">
      <c r="A15" s="513" t="s">
        <v>29</v>
      </c>
      <c r="B15" s="514"/>
      <c r="C15" s="170">
        <v>27</v>
      </c>
      <c r="D15" s="170">
        <v>401720</v>
      </c>
      <c r="E15" s="179">
        <v>1.2</v>
      </c>
      <c r="F15" s="171">
        <v>54.8</v>
      </c>
      <c r="G15" s="172">
        <f>G14+E15-F15</f>
        <v>5338.5</v>
      </c>
    </row>
    <row r="16" spans="1:7" s="13" customFormat="1" ht="18" customHeight="1">
      <c r="A16" s="513" t="s">
        <v>30</v>
      </c>
      <c r="B16" s="514"/>
      <c r="C16" s="170">
        <v>22</v>
      </c>
      <c r="D16" s="170">
        <v>275500</v>
      </c>
      <c r="E16" s="179">
        <v>1.19</v>
      </c>
      <c r="F16" s="171">
        <v>54.8</v>
      </c>
      <c r="G16" s="172">
        <v>5231.29</v>
      </c>
    </row>
    <row r="17" spans="1:7" s="13" customFormat="1" ht="18" customHeight="1">
      <c r="A17" s="513" t="s">
        <v>118</v>
      </c>
      <c r="B17" s="514"/>
      <c r="C17" s="170">
        <v>19</v>
      </c>
      <c r="D17" s="170">
        <v>372500</v>
      </c>
      <c r="E17" s="179">
        <v>3.55</v>
      </c>
      <c r="F17" s="171">
        <v>55.66</v>
      </c>
      <c r="G17" s="172">
        <v>5179.18</v>
      </c>
    </row>
    <row r="18" spans="1:7" s="13" customFormat="1" ht="18" customHeight="1">
      <c r="A18" s="513" t="s">
        <v>121</v>
      </c>
      <c r="B18" s="514"/>
      <c r="C18" s="170">
        <v>222</v>
      </c>
      <c r="D18" s="170">
        <v>6017800</v>
      </c>
      <c r="E18" s="179">
        <v>64.81</v>
      </c>
      <c r="F18" s="171">
        <v>0</v>
      </c>
      <c r="G18" s="172">
        <v>0</v>
      </c>
    </row>
    <row r="19" spans="1:7" s="14" customFormat="1" ht="18" customHeight="1">
      <c r="A19" s="513" t="s">
        <v>122</v>
      </c>
      <c r="B19" s="515"/>
      <c r="C19" s="439">
        <v>35</v>
      </c>
      <c r="D19" s="439">
        <v>640000</v>
      </c>
      <c r="E19" s="440">
        <v>3.6599999999999997</v>
      </c>
      <c r="F19" s="182">
        <v>0</v>
      </c>
      <c r="G19" s="183">
        <v>0</v>
      </c>
    </row>
    <row r="20" spans="1:7" s="14" customFormat="1" ht="18" customHeight="1">
      <c r="A20" s="511" t="s">
        <v>278</v>
      </c>
      <c r="B20" s="512"/>
      <c r="C20" s="180">
        <f>SUM(C21:C27)</f>
        <v>7</v>
      </c>
      <c r="D20" s="180">
        <f>SUM(D21:D27)</f>
        <v>67000</v>
      </c>
      <c r="E20" s="181">
        <f>SUM(E21:E27)</f>
        <v>0.22</v>
      </c>
      <c r="F20" s="182">
        <v>0</v>
      </c>
      <c r="G20" s="183">
        <v>0</v>
      </c>
    </row>
    <row r="21" spans="1:7" ht="18" customHeight="1">
      <c r="A21" s="174"/>
      <c r="B21" s="173" t="s">
        <v>263</v>
      </c>
      <c r="C21" s="170">
        <v>4</v>
      </c>
      <c r="D21" s="170">
        <v>21000</v>
      </c>
      <c r="E21" s="402">
        <v>0.08</v>
      </c>
      <c r="F21" s="171"/>
      <c r="G21" s="172"/>
    </row>
    <row r="22" spans="1:7" ht="18" customHeight="1">
      <c r="A22" s="174"/>
      <c r="B22" s="173" t="s">
        <v>17</v>
      </c>
      <c r="C22" s="170">
        <v>0</v>
      </c>
      <c r="D22" s="170">
        <v>0</v>
      </c>
      <c r="E22" s="402">
        <v>0</v>
      </c>
      <c r="F22" s="171"/>
      <c r="G22" s="172"/>
    </row>
    <row r="23" spans="1:7" ht="18" customHeight="1">
      <c r="A23" s="174"/>
      <c r="B23" s="173" t="s">
        <v>18</v>
      </c>
      <c r="C23" s="170">
        <v>2</v>
      </c>
      <c r="D23" s="170">
        <v>40000</v>
      </c>
      <c r="E23" s="402">
        <v>0.12</v>
      </c>
      <c r="F23" s="171"/>
      <c r="G23" s="172"/>
    </row>
    <row r="24" spans="1:7" ht="18" customHeight="1">
      <c r="A24" s="174"/>
      <c r="B24" s="173" t="s">
        <v>19</v>
      </c>
      <c r="C24" s="170">
        <v>1</v>
      </c>
      <c r="D24" s="170">
        <v>6000</v>
      </c>
      <c r="E24" s="402">
        <v>0.02</v>
      </c>
      <c r="F24" s="171"/>
      <c r="G24" s="172"/>
    </row>
    <row r="25" spans="1:7" ht="18" customHeight="1">
      <c r="A25" s="174"/>
      <c r="B25" s="173" t="s">
        <v>264</v>
      </c>
      <c r="C25" s="170">
        <v>0</v>
      </c>
      <c r="D25" s="170">
        <v>0</v>
      </c>
      <c r="E25" s="402">
        <v>0</v>
      </c>
      <c r="F25" s="171"/>
      <c r="G25" s="172"/>
    </row>
    <row r="26" spans="1:7" ht="18" customHeight="1">
      <c r="A26" s="174"/>
      <c r="B26" s="173" t="s">
        <v>20</v>
      </c>
      <c r="C26" s="170">
        <v>0</v>
      </c>
      <c r="D26" s="170">
        <v>0</v>
      </c>
      <c r="E26" s="402">
        <v>0</v>
      </c>
      <c r="F26" s="171"/>
      <c r="G26" s="172"/>
    </row>
    <row r="27" spans="1:7" ht="18" customHeight="1" thickBot="1">
      <c r="A27" s="175"/>
      <c r="B27" s="176" t="s">
        <v>21</v>
      </c>
      <c r="C27" s="403">
        <v>0</v>
      </c>
      <c r="D27" s="403">
        <v>0</v>
      </c>
      <c r="E27" s="404">
        <v>0</v>
      </c>
      <c r="F27" s="177"/>
      <c r="G27" s="178"/>
    </row>
    <row r="30" spans="4:6" ht="12">
      <c r="D30" s="11"/>
      <c r="F30" s="11"/>
    </row>
    <row r="31" spans="1:4" ht="12">
      <c r="A31" s="16"/>
      <c r="B31" s="16"/>
      <c r="D31" s="16"/>
    </row>
    <row r="33" spans="12:14" ht="13.5">
      <c r="L33"/>
      <c r="M33"/>
      <c r="N33" t="s">
        <v>22</v>
      </c>
    </row>
    <row r="34" spans="12:14" ht="13.5">
      <c r="L34" s="17"/>
      <c r="M34" s="18" t="s">
        <v>23</v>
      </c>
      <c r="N34" s="18" t="s">
        <v>24</v>
      </c>
    </row>
    <row r="35" spans="12:14" ht="13.5">
      <c r="L35" s="17">
        <v>7</v>
      </c>
      <c r="M35" s="19">
        <v>108</v>
      </c>
      <c r="N35" s="19">
        <v>22.2</v>
      </c>
    </row>
    <row r="36" spans="12:14" ht="13.5">
      <c r="L36" s="17">
        <v>8</v>
      </c>
      <c r="M36" s="19">
        <v>103</v>
      </c>
      <c r="N36" s="19">
        <v>21.8</v>
      </c>
    </row>
    <row r="37" spans="12:14" ht="13.5">
      <c r="L37" s="17">
        <v>9</v>
      </c>
      <c r="M37" s="19">
        <v>99</v>
      </c>
      <c r="N37" s="19">
        <v>20.3</v>
      </c>
    </row>
    <row r="38" spans="12:14" ht="13.5">
      <c r="L38" s="17">
        <v>10</v>
      </c>
      <c r="M38" s="19">
        <v>116</v>
      </c>
      <c r="N38" s="19">
        <v>22</v>
      </c>
    </row>
    <row r="39" spans="12:14" ht="13.5">
      <c r="L39" s="17">
        <v>11</v>
      </c>
      <c r="M39" s="19">
        <v>99</v>
      </c>
      <c r="N39" s="19">
        <v>18.4</v>
      </c>
    </row>
    <row r="40" spans="12:14" ht="13.5">
      <c r="L40" s="17">
        <v>12</v>
      </c>
      <c r="M40" s="19">
        <v>97</v>
      </c>
      <c r="N40" s="19">
        <v>15.3</v>
      </c>
    </row>
    <row r="41" spans="12:14" ht="13.5">
      <c r="L41" s="17">
        <v>13</v>
      </c>
      <c r="M41" s="19">
        <v>99</v>
      </c>
      <c r="N41" s="19">
        <v>14.1</v>
      </c>
    </row>
    <row r="42" spans="12:14" ht="13.5">
      <c r="L42" s="17">
        <v>14</v>
      </c>
      <c r="M42" s="19">
        <v>84</v>
      </c>
      <c r="N42" s="19">
        <v>14</v>
      </c>
    </row>
    <row r="43" spans="12:14" ht="13.5">
      <c r="L43" s="17">
        <v>15</v>
      </c>
      <c r="M43" s="19">
        <v>65</v>
      </c>
      <c r="N43" s="19">
        <v>12</v>
      </c>
    </row>
    <row r="44" spans="12:14" ht="13.5">
      <c r="L44" s="17">
        <v>16</v>
      </c>
      <c r="M44" s="20">
        <v>59</v>
      </c>
      <c r="N44" s="20">
        <v>11.3</v>
      </c>
    </row>
    <row r="45" spans="12:14" ht="13.5">
      <c r="L45" s="17">
        <v>17</v>
      </c>
      <c r="M45" s="20">
        <v>54</v>
      </c>
      <c r="N45" s="20">
        <v>15.5</v>
      </c>
    </row>
    <row r="46" spans="12:14" ht="13.5">
      <c r="L46" s="17">
        <v>18</v>
      </c>
      <c r="M46" s="20">
        <v>49</v>
      </c>
      <c r="N46" s="20">
        <v>14.3</v>
      </c>
    </row>
    <row r="47" spans="12:14" ht="13.5">
      <c r="L47" s="17">
        <v>19</v>
      </c>
      <c r="M47" s="184">
        <v>62</v>
      </c>
      <c r="N47" s="184">
        <v>15.5</v>
      </c>
    </row>
    <row r="48" spans="12:14" ht="13.5">
      <c r="L48" s="17">
        <v>20</v>
      </c>
      <c r="M48" s="184">
        <v>51</v>
      </c>
      <c r="N48" s="184">
        <v>13.9</v>
      </c>
    </row>
    <row r="49" spans="12:14" ht="13.5">
      <c r="L49" s="17">
        <v>21</v>
      </c>
      <c r="M49" s="184">
        <v>51</v>
      </c>
      <c r="N49" s="184">
        <v>14.8</v>
      </c>
    </row>
    <row r="50" ht="12">
      <c r="M50" s="12" t="s">
        <v>26</v>
      </c>
    </row>
    <row r="51" ht="12">
      <c r="L51" s="12" t="s">
        <v>280</v>
      </c>
    </row>
    <row r="52" spans="1:12" ht="12">
      <c r="A52" s="21"/>
      <c r="B52" s="21"/>
      <c r="D52" s="21"/>
      <c r="L52" s="441" t="s">
        <v>281</v>
      </c>
    </row>
    <row r="54" spans="1:2" ht="12">
      <c r="A54" s="21" t="s">
        <v>25</v>
      </c>
      <c r="B54" s="21"/>
    </row>
  </sheetData>
  <sheetProtection/>
  <mergeCells count="20">
    <mergeCell ref="A15:B15"/>
    <mergeCell ref="A8:B8"/>
    <mergeCell ref="A9:B9"/>
    <mergeCell ref="G3:G4"/>
    <mergeCell ref="C3:E3"/>
    <mergeCell ref="A3:B4"/>
    <mergeCell ref="A5:B5"/>
    <mergeCell ref="A6:B6"/>
    <mergeCell ref="A7:B7"/>
    <mergeCell ref="F3:F4"/>
    <mergeCell ref="A20:B20"/>
    <mergeCell ref="A10:B10"/>
    <mergeCell ref="A11:B11"/>
    <mergeCell ref="A19:B19"/>
    <mergeCell ref="A12:B12"/>
    <mergeCell ref="A13:B13"/>
    <mergeCell ref="A14:B14"/>
    <mergeCell ref="A16:B16"/>
    <mergeCell ref="A18:B18"/>
    <mergeCell ref="A17:B17"/>
  </mergeCells>
  <printOptions horizontalCentered="1"/>
  <pageMargins left="0.5905511811023623" right="0.3937007874015748" top="0.7874015748031497" bottom="0.1968503937007874" header="0" footer="0"/>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BS72"/>
  <sheetViews>
    <sheetView view="pageBreakPreview" zoomScale="85" zoomScaleSheetLayoutView="85" zoomScalePageLayoutView="0" workbookViewId="0" topLeftCell="AV43">
      <selection activeCell="AH66" sqref="AH66"/>
    </sheetView>
  </sheetViews>
  <sheetFormatPr defaultColWidth="9.00390625" defaultRowHeight="13.5"/>
  <cols>
    <col min="1" max="1" width="5.625" style="44" customWidth="1"/>
    <col min="2" max="2" width="14.625" style="44" customWidth="1"/>
    <col min="3" max="3" width="5.75390625" style="44" customWidth="1"/>
    <col min="4" max="4" width="12.625" style="44" customWidth="1"/>
    <col min="5" max="5" width="5.375" style="44" customWidth="1"/>
    <col min="6" max="6" width="13.00390625" style="42" customWidth="1"/>
    <col min="7" max="7" width="5.375" style="40" customWidth="1"/>
    <col min="8" max="8" width="12.625" style="36" customWidth="1"/>
    <col min="9" max="9" width="5.25390625" style="40" bestFit="1" customWidth="1"/>
    <col min="10" max="10" width="12.625" style="36" customWidth="1"/>
    <col min="11" max="11" width="5.25390625" style="40" bestFit="1" customWidth="1"/>
    <col min="12" max="12" width="12.625" style="36" customWidth="1"/>
    <col min="13" max="13" width="5.25390625" style="40" bestFit="1" customWidth="1"/>
    <col min="14" max="14" width="12.625" style="36" customWidth="1"/>
    <col min="15" max="15" width="5.25390625" style="40" customWidth="1"/>
    <col min="16" max="16" width="9.625" style="36" customWidth="1"/>
    <col min="17" max="17" width="5.375" style="40" customWidth="1"/>
    <col min="18" max="18" width="9.125" style="40" customWidth="1"/>
    <col min="19" max="19" width="5.125" style="40" customWidth="1"/>
    <col min="20" max="20" width="9.625" style="36" customWidth="1"/>
    <col min="21" max="21" width="5.125" style="40" customWidth="1"/>
    <col min="22" max="22" width="8.50390625" style="36" customWidth="1"/>
    <col min="23" max="23" width="5.125" style="40" customWidth="1"/>
    <col min="24" max="24" width="8.50390625" style="36" customWidth="1"/>
    <col min="25" max="25" width="5.125" style="40" customWidth="1"/>
    <col min="26" max="26" width="10.625" style="36" customWidth="1"/>
    <col min="27" max="27" width="5.125" style="40" customWidth="1"/>
    <col min="28" max="28" width="10.125" style="36" customWidth="1"/>
    <col min="29" max="29" width="5.125" style="40" customWidth="1"/>
    <col min="30" max="30" width="8.50390625" style="36" customWidth="1"/>
    <col min="31" max="31" width="5.125" style="40" customWidth="1"/>
    <col min="32" max="32" width="9.625" style="36" customWidth="1"/>
    <col min="33" max="33" width="5.125" style="40" customWidth="1"/>
    <col min="34" max="34" width="9.125" style="36" customWidth="1"/>
    <col min="35" max="35" width="4.375" style="40" customWidth="1"/>
    <col min="36" max="36" width="5.625" style="40" customWidth="1"/>
    <col min="37" max="37" width="14.50390625" style="40" customWidth="1"/>
    <col min="38" max="38" width="6.875" style="40" customWidth="1"/>
    <col min="39" max="39" width="16.625" style="36" customWidth="1"/>
    <col min="40" max="40" width="6.875" style="40" customWidth="1"/>
    <col min="41" max="41" width="16.625" style="36" customWidth="1"/>
    <col min="42" max="42" width="6.875" style="40" customWidth="1"/>
    <col min="43" max="43" width="16.625" style="36" customWidth="1"/>
    <col min="44" max="44" width="6.875" style="40" customWidth="1"/>
    <col min="45" max="45" width="16.625" style="36" customWidth="1"/>
    <col min="46" max="46" width="6.875" style="40" customWidth="1"/>
    <col min="47" max="47" width="9.50390625" style="193" customWidth="1"/>
    <col min="48" max="48" width="16.625" style="36" customWidth="1"/>
    <col min="49" max="49" width="5.875" style="40" customWidth="1"/>
    <col min="50" max="50" width="9.75390625" style="193" customWidth="1"/>
    <col min="51" max="51" width="12.125" style="36" customWidth="1"/>
    <col min="52" max="52" width="5.875" style="40" customWidth="1"/>
    <col min="53" max="53" width="9.50390625" style="194" customWidth="1"/>
    <col min="54" max="54" width="12.125" style="36" customWidth="1"/>
    <col min="55" max="55" width="5.875" style="40" customWidth="1"/>
    <col min="56" max="56" width="9.50390625" style="194" customWidth="1"/>
    <col min="57" max="57" width="12.125" style="36" customWidth="1"/>
    <col min="58" max="58" width="5.875" style="40" customWidth="1"/>
    <col min="59" max="59" width="9.50390625" style="194" customWidth="1"/>
    <col min="60" max="60" width="12.125" style="36" customWidth="1"/>
    <col min="61" max="61" width="5.875" style="40" customWidth="1"/>
    <col min="62" max="62" width="9.50390625" style="194" customWidth="1"/>
    <col min="63" max="63" width="12.125" style="36" customWidth="1"/>
    <col min="64" max="64" width="4.375" style="44" bestFit="1" customWidth="1"/>
    <col min="65" max="16384" width="9.00390625" style="44" customWidth="1"/>
  </cols>
  <sheetData>
    <row r="1" spans="1:64" s="24" customFormat="1" ht="24">
      <c r="A1" s="22" t="s">
        <v>36</v>
      </c>
      <c r="B1" s="23"/>
      <c r="D1" s="23"/>
      <c r="E1" s="23"/>
      <c r="F1" s="25"/>
      <c r="G1" s="93"/>
      <c r="H1" s="185"/>
      <c r="I1" s="186"/>
      <c r="J1" s="187"/>
      <c r="K1" s="186"/>
      <c r="L1" s="187"/>
      <c r="M1" s="186"/>
      <c r="N1" s="187"/>
      <c r="O1" s="186"/>
      <c r="P1" s="187"/>
      <c r="Q1" s="186"/>
      <c r="R1" s="186"/>
      <c r="S1" s="188"/>
      <c r="T1" s="187"/>
      <c r="U1" s="186"/>
      <c r="V1" s="187"/>
      <c r="W1" s="188"/>
      <c r="X1" s="187"/>
      <c r="Y1" s="186"/>
      <c r="Z1" s="187"/>
      <c r="AA1" s="186"/>
      <c r="AB1" s="187"/>
      <c r="AC1" s="186"/>
      <c r="AD1" s="187"/>
      <c r="AE1" s="186"/>
      <c r="AF1" s="187"/>
      <c r="AG1" s="186"/>
      <c r="AH1" s="187"/>
      <c r="AI1" s="99"/>
      <c r="AJ1" s="92"/>
      <c r="AK1" s="93"/>
      <c r="AL1" s="186"/>
      <c r="AM1" s="187"/>
      <c r="AN1" s="186"/>
      <c r="AO1" s="187"/>
      <c r="AP1" s="186"/>
      <c r="AQ1" s="187"/>
      <c r="AR1" s="186"/>
      <c r="AS1" s="187"/>
      <c r="AT1" s="186"/>
      <c r="AU1" s="189"/>
      <c r="AV1" s="187"/>
      <c r="AW1" s="186"/>
      <c r="AX1" s="189"/>
      <c r="AY1" s="187"/>
      <c r="AZ1" s="186"/>
      <c r="BA1" s="190"/>
      <c r="BB1" s="187"/>
      <c r="BC1" s="186"/>
      <c r="BD1" s="190"/>
      <c r="BE1" s="187"/>
      <c r="BF1" s="186"/>
      <c r="BG1" s="190"/>
      <c r="BH1" s="187"/>
      <c r="BI1" s="186"/>
      <c r="BJ1" s="190"/>
      <c r="BK1" s="187"/>
      <c r="BL1" s="26"/>
    </row>
    <row r="2" spans="1:63" s="29" customFormat="1" ht="12">
      <c r="A2" s="27"/>
      <c r="B2" s="27"/>
      <c r="C2" s="27"/>
      <c r="D2" s="27"/>
      <c r="E2" s="27"/>
      <c r="F2" s="28"/>
      <c r="G2" s="91"/>
      <c r="H2" s="191"/>
      <c r="I2" s="33"/>
      <c r="J2" s="34"/>
      <c r="K2" s="33"/>
      <c r="L2" s="34"/>
      <c r="M2" s="33"/>
      <c r="N2" s="34"/>
      <c r="O2" s="33"/>
      <c r="P2" s="34"/>
      <c r="Q2" s="33"/>
      <c r="R2" s="33"/>
      <c r="S2" s="91"/>
      <c r="T2" s="34"/>
      <c r="U2" s="33"/>
      <c r="V2" s="34"/>
      <c r="W2" s="91"/>
      <c r="X2" s="34"/>
      <c r="Y2" s="33"/>
      <c r="Z2" s="34"/>
      <c r="AA2" s="33"/>
      <c r="AB2" s="34"/>
      <c r="AC2" s="33"/>
      <c r="AD2" s="34"/>
      <c r="AE2" s="33"/>
      <c r="AF2" s="34"/>
      <c r="AG2" s="33"/>
      <c r="AH2" s="34"/>
      <c r="AI2" s="33"/>
      <c r="AJ2" s="91"/>
      <c r="AK2" s="91"/>
      <c r="AL2" s="33"/>
      <c r="AM2" s="34"/>
      <c r="AN2" s="33"/>
      <c r="AO2" s="34"/>
      <c r="AP2" s="33"/>
      <c r="AQ2" s="34"/>
      <c r="AR2" s="33"/>
      <c r="AS2" s="34"/>
      <c r="AT2" s="33"/>
      <c r="AU2" s="38"/>
      <c r="AV2" s="34"/>
      <c r="AW2" s="33"/>
      <c r="AX2" s="38"/>
      <c r="AY2" s="34"/>
      <c r="AZ2" s="33"/>
      <c r="BA2" s="39"/>
      <c r="BB2" s="34"/>
      <c r="BC2" s="33"/>
      <c r="BD2" s="39"/>
      <c r="BE2" s="34"/>
      <c r="BF2" s="33"/>
      <c r="BG2" s="39"/>
      <c r="BH2" s="34"/>
      <c r="BI2" s="33"/>
      <c r="BJ2" s="39"/>
      <c r="BK2" s="34"/>
    </row>
    <row r="3" spans="1:64" s="40" customFormat="1" ht="13.5">
      <c r="A3" s="31" t="s">
        <v>282</v>
      </c>
      <c r="B3" s="32"/>
      <c r="C3" s="33"/>
      <c r="D3" s="33"/>
      <c r="E3" s="33"/>
      <c r="F3" s="34"/>
      <c r="G3" s="33"/>
      <c r="H3" s="34"/>
      <c r="I3" s="33"/>
      <c r="J3" s="34"/>
      <c r="K3" s="33"/>
      <c r="L3" s="34"/>
      <c r="M3" s="33"/>
      <c r="N3" s="34"/>
      <c r="O3" s="35"/>
      <c r="P3" s="34"/>
      <c r="Q3" s="33"/>
      <c r="R3" s="33"/>
      <c r="S3" s="33"/>
      <c r="T3" s="36"/>
      <c r="U3" s="31" t="s">
        <v>119</v>
      </c>
      <c r="V3" s="34"/>
      <c r="W3" s="33"/>
      <c r="X3" s="36"/>
      <c r="Y3" s="33"/>
      <c r="Z3" s="34"/>
      <c r="AA3" s="33"/>
      <c r="AB3" s="34"/>
      <c r="AC3" s="33"/>
      <c r="AD3" s="34"/>
      <c r="AE3" s="33"/>
      <c r="AF3" s="34"/>
      <c r="AG3" s="33"/>
      <c r="AH3" s="34"/>
      <c r="AI3" s="37"/>
      <c r="AJ3" s="37"/>
      <c r="AK3" s="32"/>
      <c r="AL3" s="33"/>
      <c r="AM3" s="34"/>
      <c r="AN3" s="33"/>
      <c r="AO3" s="34"/>
      <c r="AP3" s="33"/>
      <c r="AQ3" s="34"/>
      <c r="AR3" s="33"/>
      <c r="AS3" s="34"/>
      <c r="AT3" s="33"/>
      <c r="AU3" s="38"/>
      <c r="AV3" s="34"/>
      <c r="AW3" s="33"/>
      <c r="AX3" s="38"/>
      <c r="AY3" s="34"/>
      <c r="AZ3" s="33"/>
      <c r="BA3" s="39"/>
      <c r="BB3" s="34"/>
      <c r="BC3" s="33"/>
      <c r="BD3" s="39"/>
      <c r="BE3" s="34"/>
      <c r="BF3" s="33"/>
      <c r="BG3" s="39"/>
      <c r="BH3" s="34"/>
      <c r="BI3" s="33"/>
      <c r="BJ3" s="39"/>
      <c r="BK3" s="34"/>
      <c r="BL3" s="37"/>
    </row>
    <row r="4" spans="1:64" ht="14.25" thickBot="1">
      <c r="A4" s="41" t="s">
        <v>37</v>
      </c>
      <c r="B4" s="29"/>
      <c r="C4" s="29"/>
      <c r="D4" s="29"/>
      <c r="E4" s="29"/>
      <c r="F4" s="30"/>
      <c r="G4" s="33"/>
      <c r="H4" s="34"/>
      <c r="I4" s="33"/>
      <c r="J4" s="34"/>
      <c r="K4" s="33"/>
      <c r="L4" s="34"/>
      <c r="M4" s="33"/>
      <c r="N4" s="34"/>
      <c r="O4" s="35"/>
      <c r="P4" s="34"/>
      <c r="Q4" s="33"/>
      <c r="R4" s="33"/>
      <c r="S4" s="33"/>
      <c r="U4" s="31" t="s">
        <v>38</v>
      </c>
      <c r="V4" s="34"/>
      <c r="W4" s="33"/>
      <c r="Y4" s="33"/>
      <c r="Z4" s="34"/>
      <c r="AA4" s="33"/>
      <c r="AB4" s="34"/>
      <c r="AC4" s="33"/>
      <c r="AD4" s="34"/>
      <c r="AE4" s="33"/>
      <c r="AF4" s="34"/>
      <c r="AG4" s="33"/>
      <c r="AH4" s="34"/>
      <c r="AI4" s="43"/>
      <c r="AJ4" s="43"/>
      <c r="AK4" s="33"/>
      <c r="AL4" s="33"/>
      <c r="AM4" s="34"/>
      <c r="AN4" s="33"/>
      <c r="AO4" s="192"/>
      <c r="AP4" s="33"/>
      <c r="AQ4" s="34"/>
      <c r="AR4" s="33"/>
      <c r="AS4" s="34"/>
      <c r="AT4" s="33"/>
      <c r="AU4" s="38"/>
      <c r="AV4" s="34"/>
      <c r="AW4" s="33"/>
      <c r="AX4" s="38"/>
      <c r="AY4" s="192"/>
      <c r="AZ4" s="33"/>
      <c r="BA4" s="39"/>
      <c r="BB4" s="34"/>
      <c r="BC4" s="33"/>
      <c r="BD4" s="39"/>
      <c r="BE4" s="34"/>
      <c r="BF4" s="33"/>
      <c r="BG4" s="39"/>
      <c r="BH4" s="34"/>
      <c r="BI4" s="33"/>
      <c r="BJ4" s="39"/>
      <c r="BK4" s="192" t="s">
        <v>31</v>
      </c>
      <c r="BL4" s="43"/>
    </row>
    <row r="5" spans="1:65" s="47" customFormat="1" ht="12" customHeight="1">
      <c r="A5" s="527" t="s">
        <v>39</v>
      </c>
      <c r="B5" s="528"/>
      <c r="C5" s="533" t="s">
        <v>40</v>
      </c>
      <c r="D5" s="520"/>
      <c r="E5" s="510" t="s">
        <v>41</v>
      </c>
      <c r="F5" s="504"/>
      <c r="G5" s="504"/>
      <c r="H5" s="504"/>
      <c r="I5" s="504"/>
      <c r="J5" s="544"/>
      <c r="K5" s="502" t="s">
        <v>283</v>
      </c>
      <c r="L5" s="528"/>
      <c r="M5" s="502" t="s">
        <v>42</v>
      </c>
      <c r="N5" s="528"/>
      <c r="O5" s="510" t="s">
        <v>43</v>
      </c>
      <c r="P5" s="504"/>
      <c r="Q5" s="504"/>
      <c r="R5" s="504"/>
      <c r="S5" s="505" t="s">
        <v>270</v>
      </c>
      <c r="T5" s="505"/>
      <c r="U5" s="505"/>
      <c r="V5" s="505"/>
      <c r="W5" s="505"/>
      <c r="X5" s="506"/>
      <c r="Y5" s="510" t="s">
        <v>44</v>
      </c>
      <c r="Z5" s="505"/>
      <c r="AA5" s="505"/>
      <c r="AB5" s="505"/>
      <c r="AC5" s="505"/>
      <c r="AD5" s="505"/>
      <c r="AE5" s="505"/>
      <c r="AF5" s="506"/>
      <c r="AG5" s="510" t="s">
        <v>45</v>
      </c>
      <c r="AH5" s="506"/>
      <c r="AI5" s="45"/>
      <c r="AJ5" s="527" t="s">
        <v>39</v>
      </c>
      <c r="AK5" s="528"/>
      <c r="AL5" s="502" t="s">
        <v>46</v>
      </c>
      <c r="AM5" s="528"/>
      <c r="AN5" s="502" t="s">
        <v>123</v>
      </c>
      <c r="AO5" s="528"/>
      <c r="AP5" s="502" t="s">
        <v>124</v>
      </c>
      <c r="AQ5" s="503"/>
      <c r="AR5" s="503"/>
      <c r="AS5" s="501"/>
      <c r="AT5" s="510" t="s">
        <v>47</v>
      </c>
      <c r="AU5" s="504"/>
      <c r="AV5" s="504"/>
      <c r="AW5" s="505" t="s">
        <v>271</v>
      </c>
      <c r="AX5" s="504"/>
      <c r="AY5" s="544"/>
      <c r="AZ5" s="510" t="s">
        <v>48</v>
      </c>
      <c r="BA5" s="545"/>
      <c r="BB5" s="545"/>
      <c r="BC5" s="545"/>
      <c r="BD5" s="545"/>
      <c r="BE5" s="545"/>
      <c r="BF5" s="545"/>
      <c r="BG5" s="545"/>
      <c r="BH5" s="545"/>
      <c r="BI5" s="545"/>
      <c r="BJ5" s="545"/>
      <c r="BK5" s="546"/>
      <c r="BL5" s="45"/>
      <c r="BM5" s="46"/>
    </row>
    <row r="6" spans="1:65" s="50" customFormat="1" ht="27" customHeight="1">
      <c r="A6" s="529"/>
      <c r="B6" s="530"/>
      <c r="C6" s="534"/>
      <c r="D6" s="522"/>
      <c r="E6" s="551" t="s">
        <v>49</v>
      </c>
      <c r="F6" s="552"/>
      <c r="G6" s="551" t="s">
        <v>50</v>
      </c>
      <c r="H6" s="552"/>
      <c r="I6" s="542" t="s">
        <v>51</v>
      </c>
      <c r="J6" s="553"/>
      <c r="K6" s="542"/>
      <c r="L6" s="543"/>
      <c r="M6" s="542"/>
      <c r="N6" s="543"/>
      <c r="O6" s="508" t="s">
        <v>52</v>
      </c>
      <c r="P6" s="509"/>
      <c r="Q6" s="508" t="s">
        <v>53</v>
      </c>
      <c r="R6" s="509"/>
      <c r="S6" s="508" t="s">
        <v>272</v>
      </c>
      <c r="T6" s="509"/>
      <c r="U6" s="508" t="s">
        <v>286</v>
      </c>
      <c r="V6" s="509"/>
      <c r="W6" s="508" t="s">
        <v>54</v>
      </c>
      <c r="X6" s="509"/>
      <c r="Y6" s="508" t="s">
        <v>55</v>
      </c>
      <c r="Z6" s="509"/>
      <c r="AA6" s="508" t="s">
        <v>56</v>
      </c>
      <c r="AB6" s="509"/>
      <c r="AC6" s="508" t="s">
        <v>284</v>
      </c>
      <c r="AD6" s="509"/>
      <c r="AE6" s="508" t="s">
        <v>125</v>
      </c>
      <c r="AF6" s="509"/>
      <c r="AG6" s="508" t="s">
        <v>57</v>
      </c>
      <c r="AH6" s="509"/>
      <c r="AI6" s="48"/>
      <c r="AJ6" s="529"/>
      <c r="AK6" s="530"/>
      <c r="AL6" s="542"/>
      <c r="AM6" s="543"/>
      <c r="AN6" s="542"/>
      <c r="AO6" s="543"/>
      <c r="AP6" s="539" t="s">
        <v>126</v>
      </c>
      <c r="AQ6" s="540"/>
      <c r="AR6" s="539" t="s">
        <v>127</v>
      </c>
      <c r="AS6" s="540"/>
      <c r="AT6" s="508" t="s">
        <v>58</v>
      </c>
      <c r="AU6" s="541"/>
      <c r="AV6" s="509"/>
      <c r="AW6" s="508" t="s">
        <v>59</v>
      </c>
      <c r="AX6" s="541"/>
      <c r="AY6" s="509"/>
      <c r="AZ6" s="508" t="s">
        <v>60</v>
      </c>
      <c r="BA6" s="541"/>
      <c r="BB6" s="509"/>
      <c r="BC6" s="508" t="s">
        <v>61</v>
      </c>
      <c r="BD6" s="547"/>
      <c r="BE6" s="548"/>
      <c r="BF6" s="549" t="s">
        <v>62</v>
      </c>
      <c r="BG6" s="550"/>
      <c r="BH6" s="540"/>
      <c r="BI6" s="508" t="s">
        <v>273</v>
      </c>
      <c r="BJ6" s="547"/>
      <c r="BK6" s="548"/>
      <c r="BL6" s="48"/>
      <c r="BM6" s="49"/>
    </row>
    <row r="7" spans="1:71" s="50" customFormat="1" ht="12.75" thickBot="1">
      <c r="A7" s="531"/>
      <c r="B7" s="532"/>
      <c r="C7" s="51" t="s">
        <v>63</v>
      </c>
      <c r="D7" s="51" t="s">
        <v>64</v>
      </c>
      <c r="E7" s="51" t="s">
        <v>63</v>
      </c>
      <c r="F7" s="52" t="s">
        <v>64</v>
      </c>
      <c r="G7" s="51" t="s">
        <v>63</v>
      </c>
      <c r="H7" s="52" t="s">
        <v>64</v>
      </c>
      <c r="I7" s="51" t="s">
        <v>63</v>
      </c>
      <c r="J7" s="52" t="s">
        <v>64</v>
      </c>
      <c r="K7" s="51" t="s">
        <v>63</v>
      </c>
      <c r="L7" s="52" t="s">
        <v>64</v>
      </c>
      <c r="M7" s="51" t="s">
        <v>63</v>
      </c>
      <c r="N7" s="52" t="s">
        <v>64</v>
      </c>
      <c r="O7" s="51" t="s">
        <v>63</v>
      </c>
      <c r="P7" s="52" t="s">
        <v>64</v>
      </c>
      <c r="Q7" s="51" t="s">
        <v>63</v>
      </c>
      <c r="R7" s="51" t="s">
        <v>64</v>
      </c>
      <c r="S7" s="51" t="s">
        <v>63</v>
      </c>
      <c r="T7" s="52" t="s">
        <v>64</v>
      </c>
      <c r="U7" s="51" t="s">
        <v>63</v>
      </c>
      <c r="V7" s="52" t="s">
        <v>64</v>
      </c>
      <c r="W7" s="51" t="s">
        <v>63</v>
      </c>
      <c r="X7" s="52" t="s">
        <v>64</v>
      </c>
      <c r="Y7" s="51" t="s">
        <v>63</v>
      </c>
      <c r="Z7" s="52" t="s">
        <v>64</v>
      </c>
      <c r="AA7" s="51" t="s">
        <v>63</v>
      </c>
      <c r="AB7" s="52" t="s">
        <v>64</v>
      </c>
      <c r="AC7" s="51" t="s">
        <v>63</v>
      </c>
      <c r="AD7" s="52" t="s">
        <v>64</v>
      </c>
      <c r="AE7" s="51" t="s">
        <v>63</v>
      </c>
      <c r="AF7" s="52" t="s">
        <v>64</v>
      </c>
      <c r="AG7" s="51" t="s">
        <v>63</v>
      </c>
      <c r="AH7" s="52" t="s">
        <v>64</v>
      </c>
      <c r="AI7" s="53"/>
      <c r="AJ7" s="531"/>
      <c r="AK7" s="532"/>
      <c r="AL7" s="51" t="s">
        <v>63</v>
      </c>
      <c r="AM7" s="52" t="s">
        <v>64</v>
      </c>
      <c r="AN7" s="51" t="s">
        <v>63</v>
      </c>
      <c r="AO7" s="52" t="s">
        <v>64</v>
      </c>
      <c r="AP7" s="51" t="s">
        <v>63</v>
      </c>
      <c r="AQ7" s="52" t="s">
        <v>64</v>
      </c>
      <c r="AR7" s="51" t="s">
        <v>63</v>
      </c>
      <c r="AS7" s="52" t="s">
        <v>64</v>
      </c>
      <c r="AT7" s="51" t="s">
        <v>65</v>
      </c>
      <c r="AU7" s="54" t="s">
        <v>66</v>
      </c>
      <c r="AV7" s="52" t="s">
        <v>67</v>
      </c>
      <c r="AW7" s="51" t="s">
        <v>65</v>
      </c>
      <c r="AX7" s="54" t="s">
        <v>68</v>
      </c>
      <c r="AY7" s="52" t="s">
        <v>67</v>
      </c>
      <c r="AZ7" s="51" t="s">
        <v>65</v>
      </c>
      <c r="BA7" s="55" t="s">
        <v>66</v>
      </c>
      <c r="BB7" s="52" t="s">
        <v>67</v>
      </c>
      <c r="BC7" s="51" t="s">
        <v>65</v>
      </c>
      <c r="BD7" s="55" t="s">
        <v>66</v>
      </c>
      <c r="BE7" s="52" t="s">
        <v>67</v>
      </c>
      <c r="BF7" s="51" t="s">
        <v>65</v>
      </c>
      <c r="BG7" s="55" t="s">
        <v>66</v>
      </c>
      <c r="BH7" s="52" t="s">
        <v>67</v>
      </c>
      <c r="BI7" s="51" t="s">
        <v>65</v>
      </c>
      <c r="BJ7" s="55" t="s">
        <v>66</v>
      </c>
      <c r="BK7" s="52" t="s">
        <v>67</v>
      </c>
      <c r="BL7" s="53"/>
      <c r="BM7" s="56"/>
      <c r="BN7" s="57"/>
      <c r="BO7" s="57"/>
      <c r="BP7" s="57"/>
      <c r="BQ7" s="57"/>
      <c r="BR7" s="57"/>
      <c r="BS7" s="57"/>
    </row>
    <row r="8" spans="1:65" ht="19.5" customHeight="1">
      <c r="A8" s="535" t="s">
        <v>69</v>
      </c>
      <c r="B8" s="536"/>
      <c r="C8" s="58">
        <v>265</v>
      </c>
      <c r="D8" s="58">
        <v>9730597</v>
      </c>
      <c r="E8" s="58">
        <v>122</v>
      </c>
      <c r="F8" s="58">
        <v>4262877</v>
      </c>
      <c r="G8" s="58">
        <v>23</v>
      </c>
      <c r="H8" s="58">
        <v>850072</v>
      </c>
      <c r="I8" s="58">
        <v>0</v>
      </c>
      <c r="J8" s="58">
        <v>0</v>
      </c>
      <c r="K8" s="58">
        <v>0</v>
      </c>
      <c r="L8" s="58">
        <v>0</v>
      </c>
      <c r="M8" s="58">
        <v>3</v>
      </c>
      <c r="N8" s="58">
        <v>191530</v>
      </c>
      <c r="O8" s="58">
        <v>7</v>
      </c>
      <c r="P8" s="58">
        <v>697105</v>
      </c>
      <c r="Q8" s="58">
        <v>0</v>
      </c>
      <c r="R8" s="58">
        <v>0</v>
      </c>
      <c r="S8" s="58">
        <v>0</v>
      </c>
      <c r="T8" s="58">
        <v>0</v>
      </c>
      <c r="U8" s="58">
        <v>0</v>
      </c>
      <c r="V8" s="58">
        <v>0</v>
      </c>
      <c r="W8" s="58">
        <v>0</v>
      </c>
      <c r="X8" s="58">
        <v>0</v>
      </c>
      <c r="Y8" s="58">
        <v>7</v>
      </c>
      <c r="Z8" s="58">
        <v>1169717</v>
      </c>
      <c r="AA8" s="58">
        <v>2</v>
      </c>
      <c r="AB8" s="58">
        <v>312284</v>
      </c>
      <c r="AC8" s="58"/>
      <c r="AD8" s="58"/>
      <c r="AE8" s="58"/>
      <c r="AF8" s="58"/>
      <c r="AG8" s="58">
        <v>1</v>
      </c>
      <c r="AH8" s="58">
        <v>29104</v>
      </c>
      <c r="AI8" s="410" t="s">
        <v>32</v>
      </c>
      <c r="AJ8" s="535" t="s">
        <v>69</v>
      </c>
      <c r="AK8" s="536"/>
      <c r="AL8" s="58">
        <v>0</v>
      </c>
      <c r="AM8" s="58">
        <v>0</v>
      </c>
      <c r="AN8" s="58">
        <v>8</v>
      </c>
      <c r="AO8" s="58">
        <v>598784</v>
      </c>
      <c r="AP8" s="58">
        <v>0</v>
      </c>
      <c r="AQ8" s="59">
        <v>0</v>
      </c>
      <c r="AR8" s="58">
        <v>0</v>
      </c>
      <c r="AS8" s="58">
        <v>0</v>
      </c>
      <c r="AT8" s="58">
        <v>1</v>
      </c>
      <c r="AU8" s="60">
        <v>2</v>
      </c>
      <c r="AV8" s="58">
        <v>33390</v>
      </c>
      <c r="AW8" s="58">
        <v>3</v>
      </c>
      <c r="AX8" s="60">
        <v>7.7</v>
      </c>
      <c r="AY8" s="59">
        <v>223945</v>
      </c>
      <c r="AZ8" s="58">
        <v>35</v>
      </c>
      <c r="BA8" s="60">
        <v>139</v>
      </c>
      <c r="BB8" s="58">
        <v>204905</v>
      </c>
      <c r="BC8" s="61">
        <v>0</v>
      </c>
      <c r="BD8" s="62">
        <v>0</v>
      </c>
      <c r="BE8" s="61">
        <v>0</v>
      </c>
      <c r="BF8" s="58">
        <v>41</v>
      </c>
      <c r="BG8" s="60">
        <v>2360.1</v>
      </c>
      <c r="BH8" s="58">
        <v>896660</v>
      </c>
      <c r="BI8" s="58">
        <v>1</v>
      </c>
      <c r="BJ8" s="60">
        <v>5.8</v>
      </c>
      <c r="BK8" s="58">
        <v>10379</v>
      </c>
      <c r="BL8" s="410" t="s">
        <v>32</v>
      </c>
      <c r="BM8" s="40"/>
    </row>
    <row r="9" spans="1:65" ht="19.5" customHeight="1">
      <c r="A9" s="535" t="s">
        <v>70</v>
      </c>
      <c r="B9" s="536"/>
      <c r="C9" s="58">
        <v>163</v>
      </c>
      <c r="D9" s="58">
        <v>5365077</v>
      </c>
      <c r="E9" s="58">
        <v>53</v>
      </c>
      <c r="F9" s="58">
        <v>2165516</v>
      </c>
      <c r="G9" s="58">
        <v>25</v>
      </c>
      <c r="H9" s="58">
        <v>937086</v>
      </c>
      <c r="I9" s="58">
        <v>0</v>
      </c>
      <c r="J9" s="58">
        <v>0</v>
      </c>
      <c r="K9" s="58">
        <v>0</v>
      </c>
      <c r="L9" s="58">
        <v>0</v>
      </c>
      <c r="M9" s="58">
        <v>2</v>
      </c>
      <c r="N9" s="58">
        <v>215070</v>
      </c>
      <c r="O9" s="58">
        <v>6</v>
      </c>
      <c r="P9" s="58">
        <v>567635</v>
      </c>
      <c r="Q9" s="58">
        <v>0</v>
      </c>
      <c r="R9" s="58">
        <v>0</v>
      </c>
      <c r="S9" s="58">
        <v>0</v>
      </c>
      <c r="T9" s="58">
        <v>0</v>
      </c>
      <c r="U9" s="58">
        <v>0</v>
      </c>
      <c r="V9" s="58">
        <v>0</v>
      </c>
      <c r="W9" s="58">
        <v>3</v>
      </c>
      <c r="X9" s="58">
        <v>58636</v>
      </c>
      <c r="Y9" s="58">
        <v>1</v>
      </c>
      <c r="Z9" s="58">
        <v>55640</v>
      </c>
      <c r="AA9" s="58">
        <v>2</v>
      </c>
      <c r="AB9" s="58">
        <v>144557</v>
      </c>
      <c r="AC9" s="58"/>
      <c r="AD9" s="58"/>
      <c r="AE9" s="58">
        <v>0</v>
      </c>
      <c r="AF9" s="58">
        <v>0</v>
      </c>
      <c r="AG9" s="58">
        <v>0</v>
      </c>
      <c r="AH9" s="58">
        <v>0</v>
      </c>
      <c r="AI9" s="410" t="s">
        <v>33</v>
      </c>
      <c r="AJ9" s="535" t="s">
        <v>34</v>
      </c>
      <c r="AK9" s="507"/>
      <c r="AL9" s="58">
        <v>0</v>
      </c>
      <c r="AM9" s="58">
        <v>0</v>
      </c>
      <c r="AN9" s="58">
        <v>7</v>
      </c>
      <c r="AO9" s="58">
        <v>639644</v>
      </c>
      <c r="AP9" s="58">
        <v>0</v>
      </c>
      <c r="AQ9" s="59">
        <v>0</v>
      </c>
      <c r="AR9" s="58">
        <v>0</v>
      </c>
      <c r="AS9" s="58">
        <v>0</v>
      </c>
      <c r="AT9" s="58">
        <v>1</v>
      </c>
      <c r="AU9" s="60">
        <v>71</v>
      </c>
      <c r="AV9" s="58">
        <v>74900</v>
      </c>
      <c r="AW9" s="58">
        <v>1</v>
      </c>
      <c r="AX9" s="60">
        <v>0.7</v>
      </c>
      <c r="AY9" s="59">
        <v>58850</v>
      </c>
      <c r="AZ9" s="58">
        <v>25</v>
      </c>
      <c r="BA9" s="60">
        <v>92.7</v>
      </c>
      <c r="BB9" s="58">
        <v>119053</v>
      </c>
      <c r="BC9" s="61">
        <v>0</v>
      </c>
      <c r="BD9" s="62">
        <v>0</v>
      </c>
      <c r="BE9" s="61">
        <v>0</v>
      </c>
      <c r="BF9" s="58">
        <v>37</v>
      </c>
      <c r="BG9" s="60">
        <v>790.6</v>
      </c>
      <c r="BH9" s="58">
        <v>328490</v>
      </c>
      <c r="BI9" s="58">
        <v>0</v>
      </c>
      <c r="BJ9" s="60">
        <v>0</v>
      </c>
      <c r="BK9" s="58">
        <v>0</v>
      </c>
      <c r="BL9" s="410" t="s">
        <v>35</v>
      </c>
      <c r="BM9" s="40"/>
    </row>
    <row r="10" spans="1:65" s="67" customFormat="1" ht="19.5" customHeight="1">
      <c r="A10" s="537" t="s">
        <v>279</v>
      </c>
      <c r="B10" s="538"/>
      <c r="C10" s="63">
        <f aca="true" t="shared" si="0" ref="C10:AH10">C11+C19+C29+C49</f>
        <v>148</v>
      </c>
      <c r="D10" s="63">
        <f t="shared" si="0"/>
        <v>5136552</v>
      </c>
      <c r="E10" s="64">
        <f t="shared" si="0"/>
        <v>37</v>
      </c>
      <c r="F10" s="64">
        <f t="shared" si="0"/>
        <v>1505955</v>
      </c>
      <c r="G10" s="61">
        <f t="shared" si="0"/>
        <v>20</v>
      </c>
      <c r="H10" s="61">
        <f t="shared" si="0"/>
        <v>644081</v>
      </c>
      <c r="I10" s="61">
        <f t="shared" si="0"/>
        <v>0</v>
      </c>
      <c r="J10" s="61">
        <f t="shared" si="0"/>
        <v>0</v>
      </c>
      <c r="K10" s="61">
        <f t="shared" si="0"/>
        <v>3</v>
      </c>
      <c r="L10" s="61">
        <f t="shared" si="0"/>
        <v>147339</v>
      </c>
      <c r="M10" s="61">
        <f t="shared" si="0"/>
        <v>0</v>
      </c>
      <c r="N10" s="61">
        <f t="shared" si="0"/>
        <v>0</v>
      </c>
      <c r="O10" s="61">
        <f t="shared" si="0"/>
        <v>7</v>
      </c>
      <c r="P10" s="61">
        <f t="shared" si="0"/>
        <v>496711</v>
      </c>
      <c r="Q10" s="61">
        <f t="shared" si="0"/>
        <v>0</v>
      </c>
      <c r="R10" s="61">
        <f t="shared" si="0"/>
        <v>0</v>
      </c>
      <c r="S10" s="61">
        <f t="shared" si="0"/>
        <v>0</v>
      </c>
      <c r="T10" s="61">
        <f t="shared" si="0"/>
        <v>0</v>
      </c>
      <c r="U10" s="61">
        <f t="shared" si="0"/>
        <v>0</v>
      </c>
      <c r="V10" s="61">
        <f t="shared" si="0"/>
        <v>0</v>
      </c>
      <c r="W10" s="61">
        <f t="shared" si="0"/>
        <v>2</v>
      </c>
      <c r="X10" s="61">
        <f t="shared" si="0"/>
        <v>72332</v>
      </c>
      <c r="Y10" s="61">
        <f t="shared" si="0"/>
        <v>0</v>
      </c>
      <c r="Z10" s="61">
        <f t="shared" si="0"/>
        <v>0</v>
      </c>
      <c r="AA10" s="61">
        <f t="shared" si="0"/>
        <v>3</v>
      </c>
      <c r="AB10" s="61">
        <f t="shared" si="0"/>
        <v>207475</v>
      </c>
      <c r="AC10" s="61">
        <f t="shared" si="0"/>
        <v>1</v>
      </c>
      <c r="AD10" s="61">
        <f t="shared" si="0"/>
        <v>16371</v>
      </c>
      <c r="AE10" s="61">
        <f t="shared" si="0"/>
        <v>20</v>
      </c>
      <c r="AF10" s="61">
        <f t="shared" si="0"/>
        <v>778156</v>
      </c>
      <c r="AG10" s="61">
        <f t="shared" si="0"/>
        <v>1</v>
      </c>
      <c r="AH10" s="61">
        <f t="shared" si="0"/>
        <v>54570</v>
      </c>
      <c r="AI10" s="411" t="s">
        <v>285</v>
      </c>
      <c r="AJ10" s="537" t="s">
        <v>279</v>
      </c>
      <c r="AK10" s="538"/>
      <c r="AL10" s="61">
        <f aca="true" t="shared" si="1" ref="AL10:BK10">AL11+AL19+AL29+AL49</f>
        <v>1</v>
      </c>
      <c r="AM10" s="61">
        <f t="shared" si="1"/>
        <v>50718</v>
      </c>
      <c r="AN10" s="61">
        <f t="shared" si="1"/>
        <v>3</v>
      </c>
      <c r="AO10" s="61">
        <f t="shared" si="1"/>
        <v>161034</v>
      </c>
      <c r="AP10" s="61">
        <f t="shared" si="1"/>
        <v>9</v>
      </c>
      <c r="AQ10" s="61">
        <f t="shared" si="1"/>
        <v>401949</v>
      </c>
      <c r="AR10" s="61">
        <f t="shared" si="1"/>
        <v>1</v>
      </c>
      <c r="AS10" s="61">
        <f t="shared" si="1"/>
        <v>200002</v>
      </c>
      <c r="AT10" s="61">
        <f t="shared" si="1"/>
        <v>0</v>
      </c>
      <c r="AU10" s="62">
        <f t="shared" si="1"/>
        <v>0</v>
      </c>
      <c r="AV10" s="61">
        <f t="shared" si="1"/>
        <v>0</v>
      </c>
      <c r="AW10" s="61">
        <f t="shared" si="1"/>
        <v>0</v>
      </c>
      <c r="AX10" s="62">
        <f t="shared" si="1"/>
        <v>0</v>
      </c>
      <c r="AY10" s="61">
        <f t="shared" si="1"/>
        <v>0</v>
      </c>
      <c r="AZ10" s="61">
        <f t="shared" si="1"/>
        <v>15</v>
      </c>
      <c r="BA10" s="62">
        <f t="shared" si="1"/>
        <v>0</v>
      </c>
      <c r="BB10" s="61">
        <f t="shared" si="1"/>
        <v>74580</v>
      </c>
      <c r="BC10" s="61">
        <f t="shared" si="1"/>
        <v>0</v>
      </c>
      <c r="BD10" s="62">
        <f t="shared" si="1"/>
        <v>0</v>
      </c>
      <c r="BE10" s="61">
        <f t="shared" si="1"/>
        <v>0</v>
      </c>
      <c r="BF10" s="61">
        <f t="shared" si="1"/>
        <v>25</v>
      </c>
      <c r="BG10" s="62">
        <f t="shared" si="1"/>
        <v>0</v>
      </c>
      <c r="BH10" s="61">
        <f t="shared" si="1"/>
        <v>325279</v>
      </c>
      <c r="BI10" s="61">
        <f t="shared" si="1"/>
        <v>0</v>
      </c>
      <c r="BJ10" s="65">
        <f t="shared" si="1"/>
        <v>0</v>
      </c>
      <c r="BK10" s="61">
        <f t="shared" si="1"/>
        <v>0</v>
      </c>
      <c r="BL10" s="411" t="s">
        <v>285</v>
      </c>
      <c r="BM10" s="66"/>
    </row>
    <row r="11" spans="1:65" s="67" customFormat="1" ht="19.5" customHeight="1">
      <c r="A11" s="68" t="s">
        <v>71</v>
      </c>
      <c r="B11" s="69"/>
      <c r="C11" s="70">
        <f aca="true" t="shared" si="2" ref="C11:AH11">C12</f>
        <v>25</v>
      </c>
      <c r="D11" s="70">
        <f t="shared" si="2"/>
        <v>750856</v>
      </c>
      <c r="E11" s="71">
        <f t="shared" si="2"/>
        <v>7</v>
      </c>
      <c r="F11" s="71">
        <f t="shared" si="2"/>
        <v>316031</v>
      </c>
      <c r="G11" s="72">
        <f t="shared" si="2"/>
        <v>2</v>
      </c>
      <c r="H11" s="72">
        <f t="shared" si="2"/>
        <v>63486</v>
      </c>
      <c r="I11" s="72">
        <f t="shared" si="2"/>
        <v>0</v>
      </c>
      <c r="J11" s="72">
        <f t="shared" si="2"/>
        <v>0</v>
      </c>
      <c r="K11" s="72">
        <f t="shared" si="2"/>
        <v>1</v>
      </c>
      <c r="L11" s="72">
        <f t="shared" si="2"/>
        <v>27142</v>
      </c>
      <c r="M11" s="72">
        <f t="shared" si="2"/>
        <v>0</v>
      </c>
      <c r="N11" s="72">
        <f t="shared" si="2"/>
        <v>0</v>
      </c>
      <c r="O11" s="72">
        <f t="shared" si="2"/>
        <v>2</v>
      </c>
      <c r="P11" s="72">
        <f t="shared" si="2"/>
        <v>102157</v>
      </c>
      <c r="Q11" s="72">
        <f t="shared" si="2"/>
        <v>0</v>
      </c>
      <c r="R11" s="72">
        <f t="shared" si="2"/>
        <v>0</v>
      </c>
      <c r="S11" s="72">
        <f t="shared" si="2"/>
        <v>0</v>
      </c>
      <c r="T11" s="72">
        <f t="shared" si="2"/>
        <v>0</v>
      </c>
      <c r="U11" s="72">
        <f t="shared" si="2"/>
        <v>0</v>
      </c>
      <c r="V11" s="72">
        <f t="shared" si="2"/>
        <v>0</v>
      </c>
      <c r="W11" s="72">
        <f t="shared" si="2"/>
        <v>0</v>
      </c>
      <c r="X11" s="72">
        <f t="shared" si="2"/>
        <v>0</v>
      </c>
      <c r="Y11" s="72">
        <f t="shared" si="2"/>
        <v>0</v>
      </c>
      <c r="Z11" s="72">
        <f t="shared" si="2"/>
        <v>0</v>
      </c>
      <c r="AA11" s="72">
        <f t="shared" si="2"/>
        <v>0</v>
      </c>
      <c r="AB11" s="72">
        <f t="shared" si="2"/>
        <v>0</v>
      </c>
      <c r="AC11" s="72">
        <f t="shared" si="2"/>
        <v>1</v>
      </c>
      <c r="AD11" s="72">
        <f t="shared" si="2"/>
        <v>16371</v>
      </c>
      <c r="AE11" s="72">
        <f t="shared" si="2"/>
        <v>0</v>
      </c>
      <c r="AF11" s="72">
        <f t="shared" si="2"/>
        <v>0</v>
      </c>
      <c r="AG11" s="72">
        <f t="shared" si="2"/>
        <v>1</v>
      </c>
      <c r="AH11" s="72">
        <f t="shared" si="2"/>
        <v>54570</v>
      </c>
      <c r="AI11" s="412"/>
      <c r="AJ11" s="68" t="s">
        <v>71</v>
      </c>
      <c r="AK11" s="69"/>
      <c r="AL11" s="72">
        <f aca="true" t="shared" si="3" ref="AL11:BK11">AL12</f>
        <v>1</v>
      </c>
      <c r="AM11" s="72">
        <f t="shared" si="3"/>
        <v>50718</v>
      </c>
      <c r="AN11" s="72">
        <f t="shared" si="3"/>
        <v>1</v>
      </c>
      <c r="AO11" s="72">
        <f t="shared" si="3"/>
        <v>64964</v>
      </c>
      <c r="AP11" s="72">
        <f t="shared" si="3"/>
        <v>0</v>
      </c>
      <c r="AQ11" s="72">
        <f t="shared" si="3"/>
        <v>0</v>
      </c>
      <c r="AR11" s="72">
        <f t="shared" si="3"/>
        <v>0</v>
      </c>
      <c r="AS11" s="72">
        <f t="shared" si="3"/>
        <v>0</v>
      </c>
      <c r="AT11" s="72">
        <f t="shared" si="3"/>
        <v>0</v>
      </c>
      <c r="AU11" s="73">
        <f t="shared" si="3"/>
        <v>0</v>
      </c>
      <c r="AV11" s="72">
        <f t="shared" si="3"/>
        <v>0</v>
      </c>
      <c r="AW11" s="72">
        <f t="shared" si="3"/>
        <v>0</v>
      </c>
      <c r="AX11" s="73">
        <f t="shared" si="3"/>
        <v>0</v>
      </c>
      <c r="AY11" s="74">
        <f t="shared" si="3"/>
        <v>0</v>
      </c>
      <c r="AZ11" s="72">
        <f t="shared" si="3"/>
        <v>4</v>
      </c>
      <c r="BA11" s="73">
        <f t="shared" si="3"/>
        <v>0</v>
      </c>
      <c r="BB11" s="72">
        <f t="shared" si="3"/>
        <v>21801</v>
      </c>
      <c r="BC11" s="72">
        <f t="shared" si="3"/>
        <v>0</v>
      </c>
      <c r="BD11" s="73">
        <f t="shared" si="3"/>
        <v>0</v>
      </c>
      <c r="BE11" s="72">
        <f t="shared" si="3"/>
        <v>0</v>
      </c>
      <c r="BF11" s="72">
        <f t="shared" si="3"/>
        <v>5</v>
      </c>
      <c r="BG11" s="73">
        <f t="shared" si="3"/>
        <v>0</v>
      </c>
      <c r="BH11" s="72">
        <f t="shared" si="3"/>
        <v>33616</v>
      </c>
      <c r="BI11" s="72">
        <f t="shared" si="3"/>
        <v>0</v>
      </c>
      <c r="BJ11" s="75">
        <f t="shared" si="3"/>
        <v>0</v>
      </c>
      <c r="BK11" s="72">
        <f t="shared" si="3"/>
        <v>0</v>
      </c>
      <c r="BL11" s="412"/>
      <c r="BM11" s="66"/>
    </row>
    <row r="12" spans="1:65" s="67" customFormat="1" ht="19.5" customHeight="1">
      <c r="A12" s="537" t="s">
        <v>277</v>
      </c>
      <c r="B12" s="507"/>
      <c r="C12" s="63">
        <f aca="true" t="shared" si="4" ref="C12:AH12">SUM(C13:C17)</f>
        <v>25</v>
      </c>
      <c r="D12" s="63">
        <f t="shared" si="4"/>
        <v>750856</v>
      </c>
      <c r="E12" s="71">
        <f t="shared" si="4"/>
        <v>7</v>
      </c>
      <c r="F12" s="71">
        <f t="shared" si="4"/>
        <v>316031</v>
      </c>
      <c r="G12" s="61">
        <f t="shared" si="4"/>
        <v>2</v>
      </c>
      <c r="H12" s="61">
        <f t="shared" si="4"/>
        <v>63486</v>
      </c>
      <c r="I12" s="61">
        <f t="shared" si="4"/>
        <v>0</v>
      </c>
      <c r="J12" s="61">
        <f t="shared" si="4"/>
        <v>0</v>
      </c>
      <c r="K12" s="61">
        <f>SUM(K13:K17)</f>
        <v>1</v>
      </c>
      <c r="L12" s="61">
        <f>SUM(L13:L17)</f>
        <v>27142</v>
      </c>
      <c r="M12" s="61">
        <f t="shared" si="4"/>
        <v>0</v>
      </c>
      <c r="N12" s="61">
        <f t="shared" si="4"/>
        <v>0</v>
      </c>
      <c r="O12" s="61">
        <f t="shared" si="4"/>
        <v>2</v>
      </c>
      <c r="P12" s="61">
        <f t="shared" si="4"/>
        <v>102157</v>
      </c>
      <c r="Q12" s="61">
        <f t="shared" si="4"/>
        <v>0</v>
      </c>
      <c r="R12" s="61">
        <f t="shared" si="4"/>
        <v>0</v>
      </c>
      <c r="S12" s="61">
        <f t="shared" si="4"/>
        <v>0</v>
      </c>
      <c r="T12" s="61">
        <f t="shared" si="4"/>
        <v>0</v>
      </c>
      <c r="U12" s="61">
        <f t="shared" si="4"/>
        <v>0</v>
      </c>
      <c r="V12" s="61">
        <f t="shared" si="4"/>
        <v>0</v>
      </c>
      <c r="W12" s="61">
        <f t="shared" si="4"/>
        <v>0</v>
      </c>
      <c r="X12" s="61">
        <f t="shared" si="4"/>
        <v>0</v>
      </c>
      <c r="Y12" s="61">
        <f t="shared" si="4"/>
        <v>0</v>
      </c>
      <c r="Z12" s="61">
        <f t="shared" si="4"/>
        <v>0</v>
      </c>
      <c r="AA12" s="61">
        <f t="shared" si="4"/>
        <v>0</v>
      </c>
      <c r="AB12" s="61">
        <f t="shared" si="4"/>
        <v>0</v>
      </c>
      <c r="AC12" s="61">
        <f t="shared" si="4"/>
        <v>1</v>
      </c>
      <c r="AD12" s="61">
        <f t="shared" si="4"/>
        <v>16371</v>
      </c>
      <c r="AE12" s="61">
        <f t="shared" si="4"/>
        <v>0</v>
      </c>
      <c r="AF12" s="61">
        <f t="shared" si="4"/>
        <v>0</v>
      </c>
      <c r="AG12" s="61">
        <f t="shared" si="4"/>
        <v>1</v>
      </c>
      <c r="AH12" s="61">
        <f t="shared" si="4"/>
        <v>54570</v>
      </c>
      <c r="AI12" s="413"/>
      <c r="AJ12" s="537" t="str">
        <f>A12</f>
        <v>利根沼田環境森林事務所</v>
      </c>
      <c r="AK12" s="507"/>
      <c r="AL12" s="61">
        <f aca="true" t="shared" si="5" ref="AL12:BK12">SUM(AL13:AL17)</f>
        <v>1</v>
      </c>
      <c r="AM12" s="61">
        <f t="shared" si="5"/>
        <v>50718</v>
      </c>
      <c r="AN12" s="61">
        <f t="shared" si="5"/>
        <v>1</v>
      </c>
      <c r="AO12" s="61">
        <f t="shared" si="5"/>
        <v>64964</v>
      </c>
      <c r="AP12" s="61">
        <f t="shared" si="5"/>
        <v>0</v>
      </c>
      <c r="AQ12" s="61">
        <f t="shared" si="5"/>
        <v>0</v>
      </c>
      <c r="AR12" s="61">
        <f t="shared" si="5"/>
        <v>0</v>
      </c>
      <c r="AS12" s="61">
        <f t="shared" si="5"/>
        <v>0</v>
      </c>
      <c r="AT12" s="61">
        <f t="shared" si="5"/>
        <v>0</v>
      </c>
      <c r="AU12" s="62">
        <f t="shared" si="5"/>
        <v>0</v>
      </c>
      <c r="AV12" s="61">
        <f t="shared" si="5"/>
        <v>0</v>
      </c>
      <c r="AW12" s="61">
        <f t="shared" si="5"/>
        <v>0</v>
      </c>
      <c r="AX12" s="62">
        <f t="shared" si="5"/>
        <v>0</v>
      </c>
      <c r="AY12" s="76">
        <f t="shared" si="5"/>
        <v>0</v>
      </c>
      <c r="AZ12" s="61">
        <f t="shared" si="5"/>
        <v>4</v>
      </c>
      <c r="BA12" s="62">
        <f t="shared" si="5"/>
        <v>0</v>
      </c>
      <c r="BB12" s="61">
        <f t="shared" si="5"/>
        <v>21801</v>
      </c>
      <c r="BC12" s="61">
        <f t="shared" si="5"/>
        <v>0</v>
      </c>
      <c r="BD12" s="62">
        <f t="shared" si="5"/>
        <v>0</v>
      </c>
      <c r="BE12" s="61">
        <f t="shared" si="5"/>
        <v>0</v>
      </c>
      <c r="BF12" s="61">
        <f t="shared" si="5"/>
        <v>5</v>
      </c>
      <c r="BG12" s="62">
        <f t="shared" si="5"/>
        <v>0</v>
      </c>
      <c r="BH12" s="61">
        <f t="shared" si="5"/>
        <v>33616</v>
      </c>
      <c r="BI12" s="61">
        <f t="shared" si="5"/>
        <v>0</v>
      </c>
      <c r="BJ12" s="65">
        <f t="shared" si="5"/>
        <v>0</v>
      </c>
      <c r="BK12" s="61">
        <f t="shared" si="5"/>
        <v>0</v>
      </c>
      <c r="BL12" s="413"/>
      <c r="BM12" s="66"/>
    </row>
    <row r="13" spans="1:65" s="29" customFormat="1" ht="19.5" customHeight="1">
      <c r="A13" s="77">
        <v>1</v>
      </c>
      <c r="B13" s="56" t="s">
        <v>72</v>
      </c>
      <c r="C13" s="78">
        <f>E13+G13+I13+K13+M13+O13+Q13+S13+U13+W13+Y13+AA13+AC13+AE13+AG13+AL13+AP13+AR13+AN13+AT13+AW13+AZ13+BC13+BF13+BI13</f>
        <v>4</v>
      </c>
      <c r="D13" s="78">
        <f>F13+H13+J13+L13+N13+P13+R13+T13+V13+X13+Z13+AB13+AD13+AF13+AH13+AM13+AQ13+AS13+AO13+AV13+AY13+BB13+BE13+BH13+BK13</f>
        <v>76557</v>
      </c>
      <c r="E13" s="58">
        <v>0</v>
      </c>
      <c r="F13" s="58">
        <v>0</v>
      </c>
      <c r="G13" s="58">
        <v>0</v>
      </c>
      <c r="H13" s="58">
        <v>0</v>
      </c>
      <c r="I13" s="79">
        <v>0</v>
      </c>
      <c r="J13" s="79">
        <v>0</v>
      </c>
      <c r="K13" s="79">
        <v>0</v>
      </c>
      <c r="L13" s="79">
        <v>0</v>
      </c>
      <c r="M13" s="79">
        <v>0</v>
      </c>
      <c r="N13" s="79">
        <v>0</v>
      </c>
      <c r="O13" s="79">
        <v>0</v>
      </c>
      <c r="P13" s="79">
        <v>0</v>
      </c>
      <c r="Q13" s="79">
        <v>0</v>
      </c>
      <c r="R13" s="79">
        <v>0</v>
      </c>
      <c r="S13" s="79">
        <v>0</v>
      </c>
      <c r="T13" s="79">
        <v>0</v>
      </c>
      <c r="U13" s="79">
        <v>0</v>
      </c>
      <c r="V13" s="79">
        <v>0</v>
      </c>
      <c r="W13" s="79">
        <v>0</v>
      </c>
      <c r="X13" s="79">
        <v>0</v>
      </c>
      <c r="Y13" s="79">
        <v>0</v>
      </c>
      <c r="Z13" s="79">
        <v>0</v>
      </c>
      <c r="AA13" s="79">
        <v>0</v>
      </c>
      <c r="AB13" s="79">
        <v>0</v>
      </c>
      <c r="AC13" s="79">
        <v>0</v>
      </c>
      <c r="AD13" s="79">
        <v>0</v>
      </c>
      <c r="AE13" s="79">
        <v>0</v>
      </c>
      <c r="AF13" s="79">
        <v>0</v>
      </c>
      <c r="AG13" s="79">
        <v>1</v>
      </c>
      <c r="AH13" s="79">
        <v>54570</v>
      </c>
      <c r="AI13" s="414">
        <v>1</v>
      </c>
      <c r="AJ13" s="77">
        <v>1</v>
      </c>
      <c r="AK13" s="56" t="s">
        <v>72</v>
      </c>
      <c r="AL13" s="58">
        <v>0</v>
      </c>
      <c r="AM13" s="58">
        <v>0</v>
      </c>
      <c r="AN13" s="58">
        <v>0</v>
      </c>
      <c r="AO13" s="58">
        <v>0</v>
      </c>
      <c r="AP13" s="58">
        <v>0</v>
      </c>
      <c r="AQ13" s="58">
        <v>0</v>
      </c>
      <c r="AR13" s="58">
        <v>0</v>
      </c>
      <c r="AS13" s="58">
        <v>0</v>
      </c>
      <c r="AT13" s="58">
        <v>0</v>
      </c>
      <c r="AU13" s="60">
        <v>0</v>
      </c>
      <c r="AV13" s="58">
        <v>0</v>
      </c>
      <c r="AW13" s="58">
        <v>0</v>
      </c>
      <c r="AX13" s="60">
        <v>0</v>
      </c>
      <c r="AY13" s="58">
        <v>0</v>
      </c>
      <c r="AZ13" s="58">
        <v>2</v>
      </c>
      <c r="BA13" s="60"/>
      <c r="BB13" s="58">
        <v>7725</v>
      </c>
      <c r="BC13" s="58">
        <v>0</v>
      </c>
      <c r="BD13" s="58">
        <v>0</v>
      </c>
      <c r="BE13" s="58">
        <v>0</v>
      </c>
      <c r="BF13" s="58">
        <v>1</v>
      </c>
      <c r="BG13" s="60"/>
      <c r="BH13" s="58">
        <v>14262</v>
      </c>
      <c r="BI13" s="58">
        <v>0</v>
      </c>
      <c r="BJ13" s="58">
        <v>0</v>
      </c>
      <c r="BK13" s="58">
        <v>0</v>
      </c>
      <c r="BL13" s="414">
        <v>1</v>
      </c>
      <c r="BM13" s="33"/>
    </row>
    <row r="14" spans="1:65" s="29" customFormat="1" ht="19.5" customHeight="1">
      <c r="A14" s="77">
        <v>2</v>
      </c>
      <c r="B14" s="56" t="s">
        <v>73</v>
      </c>
      <c r="C14" s="78">
        <f>E14+G14+I14+K14+M14+O14+Q14+S14+U14+W14+Y14+AA14+AC14+AE14+AG14+AL14+AP14+AR14+AN14+AT14+AW14+AZ14+BC14+BF14+BI14</f>
        <v>5</v>
      </c>
      <c r="D14" s="78">
        <f>F14+H14+J14+L14+N14+P14+R14+T14+V14+X14+Z14+AB14+AD14+AF14+AH14+AM14+AQ14+AS14+AO14+AV14+AY14+BB14+BE14+BH14+BK14</f>
        <v>117534</v>
      </c>
      <c r="E14" s="58">
        <v>3</v>
      </c>
      <c r="F14" s="58">
        <v>104351</v>
      </c>
      <c r="G14" s="58">
        <v>0</v>
      </c>
      <c r="H14" s="58">
        <v>0</v>
      </c>
      <c r="I14" s="79">
        <v>0</v>
      </c>
      <c r="J14" s="79">
        <v>0</v>
      </c>
      <c r="K14" s="79">
        <v>0</v>
      </c>
      <c r="L14" s="79">
        <v>0</v>
      </c>
      <c r="M14" s="79">
        <v>0</v>
      </c>
      <c r="N14" s="79">
        <v>0</v>
      </c>
      <c r="O14" s="79">
        <v>0</v>
      </c>
      <c r="P14" s="79">
        <v>0</v>
      </c>
      <c r="Q14" s="79">
        <v>0</v>
      </c>
      <c r="R14" s="79">
        <v>0</v>
      </c>
      <c r="S14" s="79">
        <v>0</v>
      </c>
      <c r="T14" s="79">
        <v>0</v>
      </c>
      <c r="U14" s="79">
        <v>0</v>
      </c>
      <c r="V14" s="79">
        <v>0</v>
      </c>
      <c r="W14" s="79">
        <v>0</v>
      </c>
      <c r="X14" s="79">
        <v>0</v>
      </c>
      <c r="Y14" s="79">
        <v>0</v>
      </c>
      <c r="Z14" s="79">
        <v>0</v>
      </c>
      <c r="AA14" s="79">
        <v>0</v>
      </c>
      <c r="AB14" s="79">
        <v>0</v>
      </c>
      <c r="AC14" s="79">
        <v>0</v>
      </c>
      <c r="AD14" s="79">
        <v>0</v>
      </c>
      <c r="AE14" s="79">
        <v>0</v>
      </c>
      <c r="AF14" s="79">
        <v>0</v>
      </c>
      <c r="AG14" s="79">
        <v>0</v>
      </c>
      <c r="AH14" s="79">
        <v>0</v>
      </c>
      <c r="AI14" s="414">
        <v>2</v>
      </c>
      <c r="AJ14" s="77">
        <v>2</v>
      </c>
      <c r="AK14" s="56" t="s">
        <v>73</v>
      </c>
      <c r="AL14" s="58">
        <v>0</v>
      </c>
      <c r="AM14" s="58">
        <v>0</v>
      </c>
      <c r="AN14" s="58">
        <v>0</v>
      </c>
      <c r="AO14" s="58">
        <v>0</v>
      </c>
      <c r="AP14" s="58">
        <v>0</v>
      </c>
      <c r="AQ14" s="58">
        <v>0</v>
      </c>
      <c r="AR14" s="58">
        <v>0</v>
      </c>
      <c r="AS14" s="58">
        <v>0</v>
      </c>
      <c r="AT14" s="58">
        <v>0</v>
      </c>
      <c r="AU14" s="60">
        <v>0</v>
      </c>
      <c r="AV14" s="58">
        <v>0</v>
      </c>
      <c r="AW14" s="58">
        <v>0</v>
      </c>
      <c r="AX14" s="60">
        <v>0</v>
      </c>
      <c r="AY14" s="58">
        <v>0</v>
      </c>
      <c r="AZ14" s="58">
        <v>1</v>
      </c>
      <c r="BA14" s="60"/>
      <c r="BB14" s="58">
        <v>5733</v>
      </c>
      <c r="BC14" s="58">
        <v>0</v>
      </c>
      <c r="BD14" s="58">
        <v>0</v>
      </c>
      <c r="BE14" s="58">
        <v>0</v>
      </c>
      <c r="BF14" s="58">
        <v>1</v>
      </c>
      <c r="BG14" s="60"/>
      <c r="BH14" s="58">
        <v>7450</v>
      </c>
      <c r="BI14" s="58">
        <v>0</v>
      </c>
      <c r="BJ14" s="58">
        <v>0</v>
      </c>
      <c r="BK14" s="58">
        <v>0</v>
      </c>
      <c r="BL14" s="414">
        <v>2</v>
      </c>
      <c r="BM14" s="33"/>
    </row>
    <row r="15" spans="1:65" s="29" customFormat="1" ht="19.5" customHeight="1">
      <c r="A15" s="77">
        <v>3</v>
      </c>
      <c r="B15" s="56" t="s">
        <v>74</v>
      </c>
      <c r="C15" s="78">
        <f>E15+G15+I15+K15+M15+O15+Q15+S15+U15+W15+Y15+AA15+AC15+AE15+AG15+AL15+AP15+AR15+AN15+AT15+AW15+AZ15+BC15+BF15+BI15</f>
        <v>1</v>
      </c>
      <c r="D15" s="78">
        <f>F15+H15+J15+L15+N15+P15+R15+T15+V15+X15+Z15+AB15+AD15+AF15+AH15+AM15+AQ15+AS15+AO15+AV15+AY15+BB15+BE15+BH15+BK15</f>
        <v>2506</v>
      </c>
      <c r="E15" s="58">
        <v>0</v>
      </c>
      <c r="F15" s="58">
        <v>0</v>
      </c>
      <c r="G15" s="58">
        <v>0</v>
      </c>
      <c r="H15" s="58">
        <v>0</v>
      </c>
      <c r="I15" s="79">
        <v>0</v>
      </c>
      <c r="J15" s="79">
        <v>0</v>
      </c>
      <c r="K15" s="79">
        <v>0</v>
      </c>
      <c r="L15" s="79">
        <v>0</v>
      </c>
      <c r="M15" s="79">
        <v>0</v>
      </c>
      <c r="N15" s="79">
        <v>0</v>
      </c>
      <c r="O15" s="79">
        <v>0</v>
      </c>
      <c r="P15" s="79">
        <v>0</v>
      </c>
      <c r="Q15" s="79">
        <v>0</v>
      </c>
      <c r="R15" s="79">
        <v>0</v>
      </c>
      <c r="S15" s="79">
        <v>0</v>
      </c>
      <c r="T15" s="79">
        <v>0</v>
      </c>
      <c r="U15" s="79">
        <v>0</v>
      </c>
      <c r="V15" s="79">
        <v>0</v>
      </c>
      <c r="W15" s="79">
        <v>0</v>
      </c>
      <c r="X15" s="79">
        <v>0</v>
      </c>
      <c r="Y15" s="79">
        <v>0</v>
      </c>
      <c r="Z15" s="79">
        <v>0</v>
      </c>
      <c r="AA15" s="79">
        <v>0</v>
      </c>
      <c r="AB15" s="79">
        <v>0</v>
      </c>
      <c r="AC15" s="79">
        <v>0</v>
      </c>
      <c r="AD15" s="79">
        <v>0</v>
      </c>
      <c r="AE15" s="79">
        <v>0</v>
      </c>
      <c r="AF15" s="79">
        <v>0</v>
      </c>
      <c r="AG15" s="79">
        <v>0</v>
      </c>
      <c r="AH15" s="79">
        <v>0</v>
      </c>
      <c r="AI15" s="414">
        <v>3</v>
      </c>
      <c r="AJ15" s="77">
        <v>3</v>
      </c>
      <c r="AK15" s="56" t="s">
        <v>74</v>
      </c>
      <c r="AL15" s="58">
        <v>0</v>
      </c>
      <c r="AM15" s="58">
        <v>0</v>
      </c>
      <c r="AN15" s="58">
        <v>0</v>
      </c>
      <c r="AO15" s="58">
        <v>0</v>
      </c>
      <c r="AP15" s="58">
        <v>0</v>
      </c>
      <c r="AQ15" s="58">
        <v>0</v>
      </c>
      <c r="AR15" s="58">
        <v>0</v>
      </c>
      <c r="AS15" s="58">
        <v>0</v>
      </c>
      <c r="AT15" s="58">
        <v>0</v>
      </c>
      <c r="AU15" s="60">
        <v>0</v>
      </c>
      <c r="AV15" s="58">
        <v>0</v>
      </c>
      <c r="AW15" s="58">
        <v>0</v>
      </c>
      <c r="AX15" s="60">
        <v>0</v>
      </c>
      <c r="AY15" s="58">
        <v>0</v>
      </c>
      <c r="AZ15" s="58">
        <v>0</v>
      </c>
      <c r="BA15" s="60">
        <v>0</v>
      </c>
      <c r="BB15" s="58">
        <v>0</v>
      </c>
      <c r="BC15" s="58">
        <v>0</v>
      </c>
      <c r="BD15" s="58">
        <v>0</v>
      </c>
      <c r="BE15" s="58">
        <v>0</v>
      </c>
      <c r="BF15" s="58">
        <v>1</v>
      </c>
      <c r="BG15" s="60"/>
      <c r="BH15" s="58">
        <v>2506</v>
      </c>
      <c r="BI15" s="58">
        <v>0</v>
      </c>
      <c r="BJ15" s="58">
        <v>0</v>
      </c>
      <c r="BK15" s="58">
        <v>0</v>
      </c>
      <c r="BL15" s="414">
        <v>3</v>
      </c>
      <c r="BM15" s="33"/>
    </row>
    <row r="16" spans="1:65" s="29" customFormat="1" ht="19.5" customHeight="1">
      <c r="A16" s="77">
        <v>4</v>
      </c>
      <c r="B16" s="56" t="s">
        <v>75</v>
      </c>
      <c r="C16" s="78">
        <f>E16+G16+I16+K16+M16+O16+Q16+S16+U16+W16+Y16+AA16+AC16+AE16+AG16+AL16+AP16+AR16+AN16+AT16+AW16+AZ16+BC16+BF16+BI16</f>
        <v>11</v>
      </c>
      <c r="D16" s="78">
        <f>F16+H16+J16+L16+N16+P16+R16+T16+V16+X16+Z16+AB16+AD16+AF16+AH16+AM16+AQ16+AS16+AO16+AV16+AY16+BB16+BE16+BH16+BK16</f>
        <v>392991</v>
      </c>
      <c r="E16" s="58">
        <v>2</v>
      </c>
      <c r="F16" s="58">
        <v>66205</v>
      </c>
      <c r="G16" s="58">
        <v>2</v>
      </c>
      <c r="H16" s="58">
        <v>63486</v>
      </c>
      <c r="I16" s="79">
        <v>0</v>
      </c>
      <c r="J16" s="79">
        <v>0</v>
      </c>
      <c r="K16" s="79">
        <v>1</v>
      </c>
      <c r="L16" s="79">
        <v>27142</v>
      </c>
      <c r="M16" s="79">
        <v>0</v>
      </c>
      <c r="N16" s="79">
        <v>0</v>
      </c>
      <c r="O16" s="79">
        <v>2</v>
      </c>
      <c r="P16" s="79">
        <v>102157</v>
      </c>
      <c r="Q16" s="79">
        <v>0</v>
      </c>
      <c r="R16" s="79">
        <v>0</v>
      </c>
      <c r="S16" s="79">
        <v>0</v>
      </c>
      <c r="T16" s="79">
        <v>0</v>
      </c>
      <c r="U16" s="79">
        <v>0</v>
      </c>
      <c r="V16" s="79">
        <v>0</v>
      </c>
      <c r="W16" s="79">
        <v>0</v>
      </c>
      <c r="X16" s="79">
        <v>0</v>
      </c>
      <c r="Y16" s="79">
        <v>0</v>
      </c>
      <c r="Z16" s="79">
        <v>0</v>
      </c>
      <c r="AA16" s="79">
        <v>0</v>
      </c>
      <c r="AB16" s="79">
        <v>0</v>
      </c>
      <c r="AC16" s="79">
        <v>1</v>
      </c>
      <c r="AD16" s="79">
        <v>16371</v>
      </c>
      <c r="AE16" s="79">
        <v>0</v>
      </c>
      <c r="AF16" s="79">
        <v>0</v>
      </c>
      <c r="AG16" s="79">
        <v>0</v>
      </c>
      <c r="AH16" s="79">
        <v>0</v>
      </c>
      <c r="AI16" s="414">
        <v>4</v>
      </c>
      <c r="AJ16" s="77">
        <v>4</v>
      </c>
      <c r="AK16" s="56" t="s">
        <v>75</v>
      </c>
      <c r="AL16" s="58">
        <v>1</v>
      </c>
      <c r="AM16" s="58">
        <v>50718</v>
      </c>
      <c r="AN16" s="58">
        <v>1</v>
      </c>
      <c r="AO16" s="58">
        <v>64964</v>
      </c>
      <c r="AP16" s="58">
        <v>0</v>
      </c>
      <c r="AQ16" s="58">
        <v>0</v>
      </c>
      <c r="AR16" s="58">
        <v>0</v>
      </c>
      <c r="AS16" s="58">
        <v>0</v>
      </c>
      <c r="AT16" s="58">
        <v>0</v>
      </c>
      <c r="AU16" s="60">
        <v>0</v>
      </c>
      <c r="AV16" s="58">
        <v>0</v>
      </c>
      <c r="AW16" s="58">
        <v>0</v>
      </c>
      <c r="AX16" s="60">
        <v>0</v>
      </c>
      <c r="AY16" s="58">
        <v>0</v>
      </c>
      <c r="AZ16" s="58">
        <v>0</v>
      </c>
      <c r="BA16" s="60">
        <v>0</v>
      </c>
      <c r="BB16" s="58">
        <v>0</v>
      </c>
      <c r="BC16" s="58">
        <v>0</v>
      </c>
      <c r="BD16" s="58">
        <v>0</v>
      </c>
      <c r="BE16" s="58">
        <v>0</v>
      </c>
      <c r="BF16" s="58">
        <v>1</v>
      </c>
      <c r="BG16" s="60"/>
      <c r="BH16" s="58">
        <v>1948</v>
      </c>
      <c r="BI16" s="58">
        <v>0</v>
      </c>
      <c r="BJ16" s="58">
        <v>0</v>
      </c>
      <c r="BK16" s="58">
        <v>0</v>
      </c>
      <c r="BL16" s="414">
        <v>4</v>
      </c>
      <c r="BM16" s="33"/>
    </row>
    <row r="17" spans="1:65" s="29" customFormat="1" ht="19.5" customHeight="1">
      <c r="A17" s="77">
        <v>5</v>
      </c>
      <c r="B17" s="56" t="s">
        <v>76</v>
      </c>
      <c r="C17" s="78">
        <f>E17+G17+I17+K17+M17+O17+Q17+S17+U17+W17+Y17+AA17+AC17+AE17+AG17+AL17+AP17+AR17+AN17+AT17+AW17+AZ17+BC17+BF17+BI17</f>
        <v>4</v>
      </c>
      <c r="D17" s="78">
        <f>F17+H17+J17+L17+N17+P17+R17+T17+V17+X17+Z17+AB17+AD17+AF17+AH17+AM17+AQ17+AS17+AO17+AV17+AY17+BB17+BE17+BH17+BK17</f>
        <v>161268</v>
      </c>
      <c r="E17" s="58">
        <v>2</v>
      </c>
      <c r="F17" s="58">
        <v>145475</v>
      </c>
      <c r="G17" s="58">
        <v>0</v>
      </c>
      <c r="H17" s="58">
        <v>0</v>
      </c>
      <c r="I17" s="79">
        <v>0</v>
      </c>
      <c r="J17" s="79">
        <v>0</v>
      </c>
      <c r="K17" s="79">
        <v>0</v>
      </c>
      <c r="L17" s="79">
        <v>0</v>
      </c>
      <c r="M17" s="79">
        <v>0</v>
      </c>
      <c r="N17" s="79">
        <v>0</v>
      </c>
      <c r="O17" s="79">
        <v>0</v>
      </c>
      <c r="P17" s="79">
        <v>0</v>
      </c>
      <c r="Q17" s="79">
        <v>0</v>
      </c>
      <c r="R17" s="79">
        <v>0</v>
      </c>
      <c r="S17" s="79">
        <v>0</v>
      </c>
      <c r="T17" s="79">
        <v>0</v>
      </c>
      <c r="U17" s="79">
        <v>0</v>
      </c>
      <c r="V17" s="79">
        <v>0</v>
      </c>
      <c r="W17" s="79">
        <v>0</v>
      </c>
      <c r="X17" s="79">
        <v>0</v>
      </c>
      <c r="Y17" s="79">
        <v>0</v>
      </c>
      <c r="Z17" s="79">
        <v>0</v>
      </c>
      <c r="AA17" s="79">
        <v>0</v>
      </c>
      <c r="AB17" s="79">
        <v>0</v>
      </c>
      <c r="AC17" s="79">
        <v>0</v>
      </c>
      <c r="AD17" s="79">
        <v>0</v>
      </c>
      <c r="AE17" s="79">
        <v>0</v>
      </c>
      <c r="AF17" s="79">
        <v>0</v>
      </c>
      <c r="AG17" s="79">
        <v>0</v>
      </c>
      <c r="AH17" s="79">
        <v>0</v>
      </c>
      <c r="AI17" s="414">
        <v>5</v>
      </c>
      <c r="AJ17" s="77">
        <v>5</v>
      </c>
      <c r="AK17" s="56" t="s">
        <v>76</v>
      </c>
      <c r="AL17" s="58">
        <v>0</v>
      </c>
      <c r="AM17" s="58">
        <v>0</v>
      </c>
      <c r="AN17" s="58">
        <v>0</v>
      </c>
      <c r="AO17" s="58">
        <v>0</v>
      </c>
      <c r="AP17" s="58">
        <v>0</v>
      </c>
      <c r="AQ17" s="58">
        <v>0</v>
      </c>
      <c r="AR17" s="58">
        <v>0</v>
      </c>
      <c r="AS17" s="58">
        <v>0</v>
      </c>
      <c r="AT17" s="58">
        <v>0</v>
      </c>
      <c r="AU17" s="60">
        <v>0</v>
      </c>
      <c r="AV17" s="58">
        <v>0</v>
      </c>
      <c r="AW17" s="58">
        <v>0</v>
      </c>
      <c r="AX17" s="60">
        <v>0</v>
      </c>
      <c r="AY17" s="58">
        <v>0</v>
      </c>
      <c r="AZ17" s="58">
        <v>1</v>
      </c>
      <c r="BA17" s="60"/>
      <c r="BB17" s="58">
        <v>8343</v>
      </c>
      <c r="BC17" s="58">
        <v>0</v>
      </c>
      <c r="BD17" s="58">
        <v>0</v>
      </c>
      <c r="BE17" s="58">
        <v>0</v>
      </c>
      <c r="BF17" s="58">
        <v>1</v>
      </c>
      <c r="BG17" s="60"/>
      <c r="BH17" s="58">
        <v>7450</v>
      </c>
      <c r="BI17" s="58">
        <v>0</v>
      </c>
      <c r="BJ17" s="58">
        <v>0</v>
      </c>
      <c r="BK17" s="58">
        <v>0</v>
      </c>
      <c r="BL17" s="414">
        <v>5</v>
      </c>
      <c r="BM17" s="33"/>
    </row>
    <row r="18" spans="1:65" s="29" customFormat="1" ht="19.5" customHeight="1">
      <c r="A18" s="77"/>
      <c r="B18" s="80"/>
      <c r="C18" s="78"/>
      <c r="D18" s="78"/>
      <c r="E18" s="58"/>
      <c r="F18" s="58"/>
      <c r="G18" s="58"/>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414"/>
      <c r="AJ18" s="77"/>
      <c r="AK18" s="80"/>
      <c r="AL18" s="58"/>
      <c r="AM18" s="58"/>
      <c r="AN18" s="58"/>
      <c r="AO18" s="58"/>
      <c r="AP18" s="58"/>
      <c r="AQ18" s="58"/>
      <c r="AR18" s="58"/>
      <c r="AS18" s="58"/>
      <c r="AT18" s="58"/>
      <c r="AU18" s="60"/>
      <c r="AV18" s="58"/>
      <c r="AW18" s="58"/>
      <c r="AX18" s="60"/>
      <c r="AY18" s="58"/>
      <c r="AZ18" s="58"/>
      <c r="BA18" s="60"/>
      <c r="BB18" s="58"/>
      <c r="BC18" s="58"/>
      <c r="BD18" s="60"/>
      <c r="BE18" s="58"/>
      <c r="BF18" s="58"/>
      <c r="BG18" s="60"/>
      <c r="BH18" s="58"/>
      <c r="BI18" s="58"/>
      <c r="BJ18" s="60"/>
      <c r="BK18" s="58"/>
      <c r="BL18" s="414"/>
      <c r="BM18" s="33"/>
    </row>
    <row r="19" spans="1:65" s="84" customFormat="1" ht="19.5" customHeight="1">
      <c r="A19" s="81" t="s">
        <v>77</v>
      </c>
      <c r="B19" s="82"/>
      <c r="C19" s="63">
        <f aca="true" t="shared" si="6" ref="C19:AH19">C20</f>
        <v>16</v>
      </c>
      <c r="D19" s="63">
        <f t="shared" si="6"/>
        <v>534035</v>
      </c>
      <c r="E19" s="71">
        <f t="shared" si="6"/>
        <v>3</v>
      </c>
      <c r="F19" s="71">
        <f t="shared" si="6"/>
        <v>163726</v>
      </c>
      <c r="G19" s="61">
        <f t="shared" si="6"/>
        <v>5</v>
      </c>
      <c r="H19" s="61">
        <f t="shared" si="6"/>
        <v>162827</v>
      </c>
      <c r="I19" s="61">
        <f t="shared" si="6"/>
        <v>0</v>
      </c>
      <c r="J19" s="61">
        <f t="shared" si="6"/>
        <v>0</v>
      </c>
      <c r="K19" s="61">
        <f t="shared" si="6"/>
        <v>1</v>
      </c>
      <c r="L19" s="61">
        <f t="shared" si="6"/>
        <v>43431</v>
      </c>
      <c r="M19" s="61">
        <f t="shared" si="6"/>
        <v>0</v>
      </c>
      <c r="N19" s="61">
        <f t="shared" si="6"/>
        <v>0</v>
      </c>
      <c r="O19" s="61">
        <f t="shared" si="6"/>
        <v>0</v>
      </c>
      <c r="P19" s="61">
        <f t="shared" si="6"/>
        <v>0</v>
      </c>
      <c r="Q19" s="61">
        <f t="shared" si="6"/>
        <v>0</v>
      </c>
      <c r="R19" s="61">
        <f t="shared" si="6"/>
        <v>0</v>
      </c>
      <c r="S19" s="61">
        <f t="shared" si="6"/>
        <v>0</v>
      </c>
      <c r="T19" s="61">
        <f t="shared" si="6"/>
        <v>0</v>
      </c>
      <c r="U19" s="61">
        <f t="shared" si="6"/>
        <v>0</v>
      </c>
      <c r="V19" s="61">
        <f t="shared" si="6"/>
        <v>0</v>
      </c>
      <c r="W19" s="61">
        <f t="shared" si="6"/>
        <v>0</v>
      </c>
      <c r="X19" s="61">
        <f t="shared" si="6"/>
        <v>0</v>
      </c>
      <c r="Y19" s="61">
        <f t="shared" si="6"/>
        <v>0</v>
      </c>
      <c r="Z19" s="61">
        <f t="shared" si="6"/>
        <v>0</v>
      </c>
      <c r="AA19" s="61">
        <f t="shared" si="6"/>
        <v>0</v>
      </c>
      <c r="AB19" s="61">
        <f t="shared" si="6"/>
        <v>0</v>
      </c>
      <c r="AC19" s="61">
        <f t="shared" si="6"/>
        <v>0</v>
      </c>
      <c r="AD19" s="61">
        <f t="shared" si="6"/>
        <v>0</v>
      </c>
      <c r="AE19" s="61">
        <f t="shared" si="6"/>
        <v>3</v>
      </c>
      <c r="AF19" s="61">
        <f t="shared" si="6"/>
        <v>120650</v>
      </c>
      <c r="AG19" s="61">
        <f t="shared" si="6"/>
        <v>0</v>
      </c>
      <c r="AH19" s="61">
        <f t="shared" si="6"/>
        <v>0</v>
      </c>
      <c r="AI19" s="413"/>
      <c r="AJ19" s="81" t="s">
        <v>77</v>
      </c>
      <c r="AK19" s="82"/>
      <c r="AL19" s="61">
        <f aca="true" t="shared" si="7" ref="AL19:BK19">AL20</f>
        <v>0</v>
      </c>
      <c r="AM19" s="61">
        <f t="shared" si="7"/>
        <v>0</v>
      </c>
      <c r="AN19" s="61">
        <f t="shared" si="7"/>
        <v>0</v>
      </c>
      <c r="AO19" s="61">
        <f t="shared" si="7"/>
        <v>0</v>
      </c>
      <c r="AP19" s="61">
        <f t="shared" si="7"/>
        <v>0</v>
      </c>
      <c r="AQ19" s="61">
        <f t="shared" si="7"/>
        <v>0</v>
      </c>
      <c r="AR19" s="61">
        <f t="shared" si="7"/>
        <v>0</v>
      </c>
      <c r="AS19" s="61">
        <f t="shared" si="7"/>
        <v>0</v>
      </c>
      <c r="AT19" s="61">
        <f t="shared" si="7"/>
        <v>0</v>
      </c>
      <c r="AU19" s="62">
        <f t="shared" si="7"/>
        <v>0</v>
      </c>
      <c r="AV19" s="61">
        <f t="shared" si="7"/>
        <v>0</v>
      </c>
      <c r="AW19" s="61">
        <f t="shared" si="7"/>
        <v>0</v>
      </c>
      <c r="AX19" s="62">
        <f t="shared" si="7"/>
        <v>0</v>
      </c>
      <c r="AY19" s="76">
        <f t="shared" si="7"/>
        <v>0</v>
      </c>
      <c r="AZ19" s="61">
        <f t="shared" si="7"/>
        <v>0</v>
      </c>
      <c r="BA19" s="62">
        <f t="shared" si="7"/>
        <v>0</v>
      </c>
      <c r="BB19" s="61">
        <f t="shared" si="7"/>
        <v>0</v>
      </c>
      <c r="BC19" s="61">
        <f t="shared" si="7"/>
        <v>0</v>
      </c>
      <c r="BD19" s="62">
        <f t="shared" si="7"/>
        <v>0</v>
      </c>
      <c r="BE19" s="61">
        <f t="shared" si="7"/>
        <v>0</v>
      </c>
      <c r="BF19" s="61">
        <f t="shared" si="7"/>
        <v>4</v>
      </c>
      <c r="BG19" s="62">
        <f t="shared" si="7"/>
        <v>0</v>
      </c>
      <c r="BH19" s="61">
        <f t="shared" si="7"/>
        <v>43401</v>
      </c>
      <c r="BI19" s="61">
        <f t="shared" si="7"/>
        <v>0</v>
      </c>
      <c r="BJ19" s="65">
        <f t="shared" si="7"/>
        <v>0</v>
      </c>
      <c r="BK19" s="61">
        <f t="shared" si="7"/>
        <v>0</v>
      </c>
      <c r="BL19" s="413"/>
      <c r="BM19" s="83"/>
    </row>
    <row r="20" spans="1:65" s="84" customFormat="1" ht="19.5" customHeight="1">
      <c r="A20" s="537" t="s">
        <v>78</v>
      </c>
      <c r="B20" s="507"/>
      <c r="C20" s="63">
        <f aca="true" t="shared" si="8" ref="C20:AH20">SUM(C21:C27)</f>
        <v>16</v>
      </c>
      <c r="D20" s="63">
        <f t="shared" si="8"/>
        <v>534035</v>
      </c>
      <c r="E20" s="71">
        <f t="shared" si="8"/>
        <v>3</v>
      </c>
      <c r="F20" s="71">
        <f t="shared" si="8"/>
        <v>163726</v>
      </c>
      <c r="G20" s="61">
        <f t="shared" si="8"/>
        <v>5</v>
      </c>
      <c r="H20" s="61">
        <f t="shared" si="8"/>
        <v>162827</v>
      </c>
      <c r="I20" s="61">
        <f t="shared" si="8"/>
        <v>0</v>
      </c>
      <c r="J20" s="61">
        <f t="shared" si="8"/>
        <v>0</v>
      </c>
      <c r="K20" s="61">
        <f>SUM(K21:K27)</f>
        <v>1</v>
      </c>
      <c r="L20" s="61">
        <f>SUM(L21:L27)</f>
        <v>43431</v>
      </c>
      <c r="M20" s="61">
        <f t="shared" si="8"/>
        <v>0</v>
      </c>
      <c r="N20" s="61">
        <f t="shared" si="8"/>
        <v>0</v>
      </c>
      <c r="O20" s="61">
        <f t="shared" si="8"/>
        <v>0</v>
      </c>
      <c r="P20" s="61">
        <f t="shared" si="8"/>
        <v>0</v>
      </c>
      <c r="Q20" s="61">
        <f t="shared" si="8"/>
        <v>0</v>
      </c>
      <c r="R20" s="61">
        <f t="shared" si="8"/>
        <v>0</v>
      </c>
      <c r="S20" s="61">
        <f t="shared" si="8"/>
        <v>0</v>
      </c>
      <c r="T20" s="61">
        <f t="shared" si="8"/>
        <v>0</v>
      </c>
      <c r="U20" s="61">
        <f t="shared" si="8"/>
        <v>0</v>
      </c>
      <c r="V20" s="61">
        <f t="shared" si="8"/>
        <v>0</v>
      </c>
      <c r="W20" s="61">
        <f t="shared" si="8"/>
        <v>0</v>
      </c>
      <c r="X20" s="61">
        <f t="shared" si="8"/>
        <v>0</v>
      </c>
      <c r="Y20" s="61">
        <f t="shared" si="8"/>
        <v>0</v>
      </c>
      <c r="Z20" s="61">
        <f t="shared" si="8"/>
        <v>0</v>
      </c>
      <c r="AA20" s="61">
        <f t="shared" si="8"/>
        <v>0</v>
      </c>
      <c r="AB20" s="61">
        <f t="shared" si="8"/>
        <v>0</v>
      </c>
      <c r="AC20" s="61">
        <f t="shared" si="8"/>
        <v>0</v>
      </c>
      <c r="AD20" s="61">
        <f t="shared" si="8"/>
        <v>0</v>
      </c>
      <c r="AE20" s="61">
        <f t="shared" si="8"/>
        <v>3</v>
      </c>
      <c r="AF20" s="61">
        <f t="shared" si="8"/>
        <v>120650</v>
      </c>
      <c r="AG20" s="61">
        <f t="shared" si="8"/>
        <v>0</v>
      </c>
      <c r="AH20" s="61">
        <f t="shared" si="8"/>
        <v>0</v>
      </c>
      <c r="AI20" s="413"/>
      <c r="AJ20" s="537" t="str">
        <f>A20</f>
        <v>　吾妻環境森林事務所</v>
      </c>
      <c r="AK20" s="507"/>
      <c r="AL20" s="61">
        <f aca="true" t="shared" si="9" ref="AL20:BK20">SUM(AL21:AL27)</f>
        <v>0</v>
      </c>
      <c r="AM20" s="61">
        <f t="shared" si="9"/>
        <v>0</v>
      </c>
      <c r="AN20" s="61">
        <f t="shared" si="9"/>
        <v>0</v>
      </c>
      <c r="AO20" s="61">
        <f t="shared" si="9"/>
        <v>0</v>
      </c>
      <c r="AP20" s="61">
        <f t="shared" si="9"/>
        <v>0</v>
      </c>
      <c r="AQ20" s="61">
        <f t="shared" si="9"/>
        <v>0</v>
      </c>
      <c r="AR20" s="61">
        <f t="shared" si="9"/>
        <v>0</v>
      </c>
      <c r="AS20" s="61">
        <f t="shared" si="9"/>
        <v>0</v>
      </c>
      <c r="AT20" s="61">
        <f t="shared" si="9"/>
        <v>0</v>
      </c>
      <c r="AU20" s="62">
        <f t="shared" si="9"/>
        <v>0</v>
      </c>
      <c r="AV20" s="61">
        <f t="shared" si="9"/>
        <v>0</v>
      </c>
      <c r="AW20" s="61">
        <f t="shared" si="9"/>
        <v>0</v>
      </c>
      <c r="AX20" s="62">
        <f t="shared" si="9"/>
        <v>0</v>
      </c>
      <c r="AY20" s="76">
        <f t="shared" si="9"/>
        <v>0</v>
      </c>
      <c r="AZ20" s="61">
        <f t="shared" si="9"/>
        <v>0</v>
      </c>
      <c r="BA20" s="62">
        <f t="shared" si="9"/>
        <v>0</v>
      </c>
      <c r="BB20" s="61">
        <f t="shared" si="9"/>
        <v>0</v>
      </c>
      <c r="BC20" s="61">
        <f t="shared" si="9"/>
        <v>0</v>
      </c>
      <c r="BD20" s="62">
        <f t="shared" si="9"/>
        <v>0</v>
      </c>
      <c r="BE20" s="61">
        <f t="shared" si="9"/>
        <v>0</v>
      </c>
      <c r="BF20" s="61">
        <f t="shared" si="9"/>
        <v>4</v>
      </c>
      <c r="BG20" s="62">
        <f t="shared" si="9"/>
        <v>0</v>
      </c>
      <c r="BH20" s="61">
        <f t="shared" si="9"/>
        <v>43401</v>
      </c>
      <c r="BI20" s="61">
        <f t="shared" si="9"/>
        <v>0</v>
      </c>
      <c r="BJ20" s="65">
        <f t="shared" si="9"/>
        <v>0</v>
      </c>
      <c r="BK20" s="61">
        <f t="shared" si="9"/>
        <v>0</v>
      </c>
      <c r="BL20" s="413"/>
      <c r="BM20" s="83"/>
    </row>
    <row r="21" spans="1:65" s="29" customFormat="1" ht="19.5" customHeight="1">
      <c r="A21" s="77">
        <v>6</v>
      </c>
      <c r="B21" s="56" t="s">
        <v>79</v>
      </c>
      <c r="C21" s="78">
        <f aca="true" t="shared" si="10" ref="C21:C27">E21+G21+I21+K21+M21+O21+Q21+S21+U21+W21+Y21+AA21+AC21+AE21+AG21+AL21+AP21+AR21+AN21+AT21+AW21+AZ21+BC21+BF21+BI21</f>
        <v>2</v>
      </c>
      <c r="D21" s="78">
        <f aca="true" t="shared" si="11" ref="D21:D27">F21+H21+J21+L21+N21+P21+R21+T21+V21+X21+Z21+AB21+AD21+AF21+AH21+AM21+AQ21+AS21+AO21+AV21+AY21+BB21+BE21+BH21+BK21</f>
        <v>82702</v>
      </c>
      <c r="E21" s="58">
        <v>0</v>
      </c>
      <c r="F21" s="58">
        <v>0</v>
      </c>
      <c r="G21" s="58">
        <v>0</v>
      </c>
      <c r="H21" s="58">
        <v>0</v>
      </c>
      <c r="I21" s="58">
        <v>0</v>
      </c>
      <c r="J21" s="58">
        <v>0</v>
      </c>
      <c r="K21" s="58">
        <v>0</v>
      </c>
      <c r="L21" s="58">
        <v>0</v>
      </c>
      <c r="M21" s="58">
        <v>0</v>
      </c>
      <c r="N21" s="58">
        <v>0</v>
      </c>
      <c r="O21" s="58">
        <v>0</v>
      </c>
      <c r="P21" s="58">
        <v>0</v>
      </c>
      <c r="Q21" s="58">
        <v>0</v>
      </c>
      <c r="R21" s="58">
        <v>0</v>
      </c>
      <c r="S21" s="79">
        <v>0</v>
      </c>
      <c r="T21" s="79">
        <v>0</v>
      </c>
      <c r="U21" s="79">
        <v>0</v>
      </c>
      <c r="V21" s="79">
        <v>0</v>
      </c>
      <c r="W21" s="79">
        <v>0</v>
      </c>
      <c r="X21" s="79">
        <v>0</v>
      </c>
      <c r="Y21" s="79">
        <v>0</v>
      </c>
      <c r="Z21" s="79">
        <v>0</v>
      </c>
      <c r="AA21" s="79">
        <v>0</v>
      </c>
      <c r="AB21" s="79">
        <v>0</v>
      </c>
      <c r="AC21" s="79">
        <v>0</v>
      </c>
      <c r="AD21" s="79">
        <v>0</v>
      </c>
      <c r="AE21" s="79">
        <v>1</v>
      </c>
      <c r="AF21" s="79">
        <v>75924</v>
      </c>
      <c r="AG21" s="79">
        <v>0</v>
      </c>
      <c r="AH21" s="79">
        <v>0</v>
      </c>
      <c r="AI21" s="414">
        <v>6</v>
      </c>
      <c r="AJ21" s="77">
        <v>6</v>
      </c>
      <c r="AK21" s="56" t="s">
        <v>79</v>
      </c>
      <c r="AL21" s="58">
        <v>0</v>
      </c>
      <c r="AM21" s="58">
        <v>0</v>
      </c>
      <c r="AN21" s="58">
        <v>0</v>
      </c>
      <c r="AO21" s="58">
        <v>0</v>
      </c>
      <c r="AP21" s="58">
        <v>0</v>
      </c>
      <c r="AQ21" s="58">
        <v>0</v>
      </c>
      <c r="AR21" s="58">
        <v>0</v>
      </c>
      <c r="AS21" s="58">
        <v>0</v>
      </c>
      <c r="AT21" s="58">
        <v>0</v>
      </c>
      <c r="AU21" s="60">
        <v>0</v>
      </c>
      <c r="AV21" s="58">
        <v>0</v>
      </c>
      <c r="AW21" s="58">
        <v>0</v>
      </c>
      <c r="AX21" s="60">
        <v>0</v>
      </c>
      <c r="AY21" s="58">
        <v>0</v>
      </c>
      <c r="AZ21" s="58">
        <v>0</v>
      </c>
      <c r="BA21" s="60">
        <v>0</v>
      </c>
      <c r="BB21" s="58">
        <v>0</v>
      </c>
      <c r="BC21" s="58">
        <v>0</v>
      </c>
      <c r="BD21" s="58">
        <v>0</v>
      </c>
      <c r="BE21" s="58">
        <v>0</v>
      </c>
      <c r="BF21" s="58">
        <v>1</v>
      </c>
      <c r="BG21" s="60"/>
      <c r="BH21" s="58">
        <v>6778</v>
      </c>
      <c r="BI21" s="58">
        <v>0</v>
      </c>
      <c r="BJ21" s="58">
        <v>0</v>
      </c>
      <c r="BK21" s="58">
        <v>0</v>
      </c>
      <c r="BL21" s="414">
        <v>6</v>
      </c>
      <c r="BM21" s="33"/>
    </row>
    <row r="22" spans="1:65" s="29" customFormat="1" ht="19.5" customHeight="1">
      <c r="A22" s="77">
        <v>7</v>
      </c>
      <c r="B22" s="56" t="s">
        <v>80</v>
      </c>
      <c r="C22" s="78">
        <f t="shared" si="10"/>
        <v>5</v>
      </c>
      <c r="D22" s="78">
        <f t="shared" si="11"/>
        <v>185262</v>
      </c>
      <c r="E22" s="58">
        <v>1</v>
      </c>
      <c r="F22" s="58">
        <v>63797</v>
      </c>
      <c r="G22" s="58">
        <v>1</v>
      </c>
      <c r="H22" s="58">
        <v>33308</v>
      </c>
      <c r="I22" s="58">
        <v>0</v>
      </c>
      <c r="J22" s="58">
        <v>0</v>
      </c>
      <c r="K22" s="58">
        <v>1</v>
      </c>
      <c r="L22" s="58">
        <v>43431</v>
      </c>
      <c r="M22" s="58">
        <v>0</v>
      </c>
      <c r="N22" s="58">
        <v>0</v>
      </c>
      <c r="O22" s="58">
        <v>0</v>
      </c>
      <c r="P22" s="58">
        <v>0</v>
      </c>
      <c r="Q22" s="58">
        <v>0</v>
      </c>
      <c r="R22" s="58">
        <v>0</v>
      </c>
      <c r="S22" s="79">
        <v>0</v>
      </c>
      <c r="T22" s="79">
        <v>0</v>
      </c>
      <c r="U22" s="79">
        <v>0</v>
      </c>
      <c r="V22" s="79">
        <v>0</v>
      </c>
      <c r="W22" s="79">
        <v>0</v>
      </c>
      <c r="X22" s="79">
        <v>0</v>
      </c>
      <c r="Y22" s="79">
        <v>0</v>
      </c>
      <c r="Z22" s="79">
        <v>0</v>
      </c>
      <c r="AA22" s="79">
        <v>0</v>
      </c>
      <c r="AB22" s="79">
        <v>0</v>
      </c>
      <c r="AC22" s="79">
        <v>0</v>
      </c>
      <c r="AD22" s="79">
        <v>0</v>
      </c>
      <c r="AE22" s="79">
        <v>2</v>
      </c>
      <c r="AF22" s="79">
        <v>44726</v>
      </c>
      <c r="AG22" s="79">
        <v>0</v>
      </c>
      <c r="AH22" s="79">
        <v>0</v>
      </c>
      <c r="AI22" s="414">
        <v>7</v>
      </c>
      <c r="AJ22" s="77">
        <v>7</v>
      </c>
      <c r="AK22" s="56" t="s">
        <v>80</v>
      </c>
      <c r="AL22" s="58">
        <v>0</v>
      </c>
      <c r="AM22" s="58">
        <v>0</v>
      </c>
      <c r="AN22" s="58">
        <v>0</v>
      </c>
      <c r="AO22" s="58">
        <v>0</v>
      </c>
      <c r="AP22" s="58">
        <v>0</v>
      </c>
      <c r="AQ22" s="58">
        <v>0</v>
      </c>
      <c r="AR22" s="58">
        <v>0</v>
      </c>
      <c r="AS22" s="58">
        <v>0</v>
      </c>
      <c r="AT22" s="58">
        <v>0</v>
      </c>
      <c r="AU22" s="60">
        <v>0</v>
      </c>
      <c r="AV22" s="58">
        <v>0</v>
      </c>
      <c r="AW22" s="58">
        <v>0</v>
      </c>
      <c r="AX22" s="60">
        <v>0</v>
      </c>
      <c r="AY22" s="58">
        <v>0</v>
      </c>
      <c r="AZ22" s="58">
        <v>0</v>
      </c>
      <c r="BA22" s="60">
        <v>0</v>
      </c>
      <c r="BB22" s="58">
        <v>0</v>
      </c>
      <c r="BC22" s="58">
        <v>0</v>
      </c>
      <c r="BD22" s="58">
        <v>0</v>
      </c>
      <c r="BE22" s="58">
        <v>0</v>
      </c>
      <c r="BF22" s="58">
        <v>0</v>
      </c>
      <c r="BG22" s="60"/>
      <c r="BH22" s="58">
        <v>0</v>
      </c>
      <c r="BI22" s="58">
        <v>0</v>
      </c>
      <c r="BJ22" s="58">
        <v>0</v>
      </c>
      <c r="BK22" s="58">
        <v>0</v>
      </c>
      <c r="BL22" s="414">
        <v>7</v>
      </c>
      <c r="BM22" s="33"/>
    </row>
    <row r="23" spans="1:65" s="29" customFormat="1" ht="19.5" customHeight="1">
      <c r="A23" s="77">
        <v>8</v>
      </c>
      <c r="B23" s="56" t="s">
        <v>81</v>
      </c>
      <c r="C23" s="78">
        <f t="shared" si="10"/>
        <v>2</v>
      </c>
      <c r="D23" s="78">
        <f t="shared" si="11"/>
        <v>38782</v>
      </c>
      <c r="E23" s="58">
        <v>0</v>
      </c>
      <c r="F23" s="58">
        <v>0</v>
      </c>
      <c r="G23" s="58">
        <v>1</v>
      </c>
      <c r="H23" s="58">
        <v>28325</v>
      </c>
      <c r="I23" s="58">
        <v>0</v>
      </c>
      <c r="J23" s="58">
        <v>0</v>
      </c>
      <c r="K23" s="58">
        <v>0</v>
      </c>
      <c r="L23" s="58">
        <v>0</v>
      </c>
      <c r="M23" s="58">
        <v>0</v>
      </c>
      <c r="N23" s="58">
        <v>0</v>
      </c>
      <c r="O23" s="58">
        <v>0</v>
      </c>
      <c r="P23" s="58">
        <v>0</v>
      </c>
      <c r="Q23" s="58">
        <v>0</v>
      </c>
      <c r="R23" s="58">
        <v>0</v>
      </c>
      <c r="S23" s="79">
        <v>0</v>
      </c>
      <c r="T23" s="79">
        <v>0</v>
      </c>
      <c r="U23" s="79">
        <v>0</v>
      </c>
      <c r="V23" s="79">
        <v>0</v>
      </c>
      <c r="W23" s="79">
        <v>0</v>
      </c>
      <c r="X23" s="79">
        <v>0</v>
      </c>
      <c r="Y23" s="79">
        <v>0</v>
      </c>
      <c r="Z23" s="79">
        <v>0</v>
      </c>
      <c r="AA23" s="79">
        <v>0</v>
      </c>
      <c r="AB23" s="79">
        <v>0</v>
      </c>
      <c r="AC23" s="79">
        <v>0</v>
      </c>
      <c r="AD23" s="79">
        <v>0</v>
      </c>
      <c r="AE23" s="79">
        <v>0</v>
      </c>
      <c r="AF23" s="79">
        <v>0</v>
      </c>
      <c r="AG23" s="79">
        <v>0</v>
      </c>
      <c r="AH23" s="79">
        <v>0</v>
      </c>
      <c r="AI23" s="414">
        <v>8</v>
      </c>
      <c r="AJ23" s="77">
        <v>8</v>
      </c>
      <c r="AK23" s="56" t="s">
        <v>81</v>
      </c>
      <c r="AL23" s="58">
        <v>0</v>
      </c>
      <c r="AM23" s="58">
        <v>0</v>
      </c>
      <c r="AN23" s="58">
        <v>0</v>
      </c>
      <c r="AO23" s="58">
        <v>0</v>
      </c>
      <c r="AP23" s="58">
        <v>0</v>
      </c>
      <c r="AQ23" s="58">
        <v>0</v>
      </c>
      <c r="AR23" s="58">
        <v>0</v>
      </c>
      <c r="AS23" s="58">
        <v>0</v>
      </c>
      <c r="AT23" s="58">
        <v>0</v>
      </c>
      <c r="AU23" s="60">
        <v>0</v>
      </c>
      <c r="AV23" s="58">
        <v>0</v>
      </c>
      <c r="AW23" s="58">
        <v>0</v>
      </c>
      <c r="AX23" s="60">
        <v>0</v>
      </c>
      <c r="AY23" s="58">
        <v>0</v>
      </c>
      <c r="AZ23" s="58">
        <v>0</v>
      </c>
      <c r="BA23" s="60">
        <v>0</v>
      </c>
      <c r="BB23" s="58">
        <v>0</v>
      </c>
      <c r="BC23" s="58">
        <v>0</v>
      </c>
      <c r="BD23" s="58">
        <v>0</v>
      </c>
      <c r="BE23" s="58">
        <v>0</v>
      </c>
      <c r="BF23" s="58">
        <v>1</v>
      </c>
      <c r="BG23" s="60"/>
      <c r="BH23" s="58">
        <v>10457</v>
      </c>
      <c r="BI23" s="58">
        <v>0</v>
      </c>
      <c r="BJ23" s="58">
        <v>0</v>
      </c>
      <c r="BK23" s="58">
        <v>0</v>
      </c>
      <c r="BL23" s="414">
        <v>8</v>
      </c>
      <c r="BM23" s="33"/>
    </row>
    <row r="24" spans="1:65" s="29" customFormat="1" ht="19.5" customHeight="1">
      <c r="A24" s="77">
        <v>9</v>
      </c>
      <c r="B24" s="56" t="s">
        <v>82</v>
      </c>
      <c r="C24" s="78">
        <f t="shared" si="10"/>
        <v>4</v>
      </c>
      <c r="D24" s="78">
        <f t="shared" si="11"/>
        <v>135726</v>
      </c>
      <c r="E24" s="58">
        <v>1</v>
      </c>
      <c r="F24" s="58">
        <v>46338</v>
      </c>
      <c r="G24" s="58">
        <v>2</v>
      </c>
      <c r="H24" s="58">
        <v>83818</v>
      </c>
      <c r="I24" s="58">
        <v>0</v>
      </c>
      <c r="J24" s="58">
        <v>0</v>
      </c>
      <c r="K24" s="58">
        <v>0</v>
      </c>
      <c r="L24" s="58">
        <v>0</v>
      </c>
      <c r="M24" s="58">
        <v>0</v>
      </c>
      <c r="N24" s="58">
        <v>0</v>
      </c>
      <c r="O24" s="58">
        <v>0</v>
      </c>
      <c r="P24" s="58">
        <v>0</v>
      </c>
      <c r="Q24" s="58">
        <v>0</v>
      </c>
      <c r="R24" s="58">
        <v>0</v>
      </c>
      <c r="S24" s="79">
        <v>0</v>
      </c>
      <c r="T24" s="79">
        <v>0</v>
      </c>
      <c r="U24" s="79">
        <v>0</v>
      </c>
      <c r="V24" s="79">
        <v>0</v>
      </c>
      <c r="W24" s="79">
        <v>0</v>
      </c>
      <c r="X24" s="79">
        <v>0</v>
      </c>
      <c r="Y24" s="79">
        <v>0</v>
      </c>
      <c r="Z24" s="79">
        <v>0</v>
      </c>
      <c r="AA24" s="79">
        <v>0</v>
      </c>
      <c r="AB24" s="79">
        <v>0</v>
      </c>
      <c r="AC24" s="79">
        <v>0</v>
      </c>
      <c r="AD24" s="79">
        <v>0</v>
      </c>
      <c r="AE24" s="79">
        <v>0</v>
      </c>
      <c r="AF24" s="79">
        <v>0</v>
      </c>
      <c r="AG24" s="79">
        <v>0</v>
      </c>
      <c r="AH24" s="79">
        <v>0</v>
      </c>
      <c r="AI24" s="414">
        <v>9</v>
      </c>
      <c r="AJ24" s="77">
        <v>9</v>
      </c>
      <c r="AK24" s="56" t="s">
        <v>82</v>
      </c>
      <c r="AL24" s="58">
        <v>0</v>
      </c>
      <c r="AM24" s="58">
        <v>0</v>
      </c>
      <c r="AN24" s="58">
        <v>0</v>
      </c>
      <c r="AO24" s="58">
        <v>0</v>
      </c>
      <c r="AP24" s="58">
        <v>0</v>
      </c>
      <c r="AQ24" s="58">
        <v>0</v>
      </c>
      <c r="AR24" s="58">
        <v>0</v>
      </c>
      <c r="AS24" s="58">
        <v>0</v>
      </c>
      <c r="AT24" s="58">
        <v>0</v>
      </c>
      <c r="AU24" s="60">
        <v>0</v>
      </c>
      <c r="AV24" s="58">
        <v>0</v>
      </c>
      <c r="AW24" s="58">
        <v>0</v>
      </c>
      <c r="AX24" s="60">
        <v>0</v>
      </c>
      <c r="AY24" s="58">
        <v>0</v>
      </c>
      <c r="AZ24" s="58">
        <v>0</v>
      </c>
      <c r="BA24" s="60">
        <v>0</v>
      </c>
      <c r="BB24" s="58">
        <v>0</v>
      </c>
      <c r="BC24" s="58">
        <v>0</v>
      </c>
      <c r="BD24" s="58">
        <v>0</v>
      </c>
      <c r="BE24" s="58">
        <v>0</v>
      </c>
      <c r="BF24" s="58">
        <v>1</v>
      </c>
      <c r="BG24" s="60"/>
      <c r="BH24" s="58">
        <v>5570</v>
      </c>
      <c r="BI24" s="58">
        <v>0</v>
      </c>
      <c r="BJ24" s="58">
        <v>0</v>
      </c>
      <c r="BK24" s="58">
        <v>0</v>
      </c>
      <c r="BL24" s="414">
        <v>9</v>
      </c>
      <c r="BM24" s="33"/>
    </row>
    <row r="25" spans="1:65" s="29" customFormat="1" ht="19.5" customHeight="1">
      <c r="A25" s="77">
        <v>10</v>
      </c>
      <c r="B25" s="56" t="s">
        <v>83</v>
      </c>
      <c r="C25" s="78">
        <f t="shared" si="10"/>
        <v>0</v>
      </c>
      <c r="D25" s="78">
        <f t="shared" si="11"/>
        <v>0</v>
      </c>
      <c r="E25" s="58">
        <v>0</v>
      </c>
      <c r="F25" s="58">
        <v>0</v>
      </c>
      <c r="G25" s="58">
        <v>0</v>
      </c>
      <c r="H25" s="58">
        <v>0</v>
      </c>
      <c r="I25" s="58">
        <v>0</v>
      </c>
      <c r="J25" s="58">
        <v>0</v>
      </c>
      <c r="K25" s="58">
        <v>0</v>
      </c>
      <c r="L25" s="58">
        <v>0</v>
      </c>
      <c r="M25" s="58">
        <v>0</v>
      </c>
      <c r="N25" s="58">
        <v>0</v>
      </c>
      <c r="O25" s="58">
        <v>0</v>
      </c>
      <c r="P25" s="58">
        <v>0</v>
      </c>
      <c r="Q25" s="58">
        <v>0</v>
      </c>
      <c r="R25" s="58">
        <v>0</v>
      </c>
      <c r="S25" s="79">
        <v>0</v>
      </c>
      <c r="T25" s="79">
        <v>0</v>
      </c>
      <c r="U25" s="79">
        <v>0</v>
      </c>
      <c r="V25" s="79">
        <v>0</v>
      </c>
      <c r="W25" s="79">
        <v>0</v>
      </c>
      <c r="X25" s="79">
        <v>0</v>
      </c>
      <c r="Y25" s="79">
        <v>0</v>
      </c>
      <c r="Z25" s="79">
        <v>0</v>
      </c>
      <c r="AA25" s="79">
        <v>0</v>
      </c>
      <c r="AB25" s="79">
        <v>0</v>
      </c>
      <c r="AC25" s="79">
        <v>0</v>
      </c>
      <c r="AD25" s="79">
        <v>0</v>
      </c>
      <c r="AE25" s="79">
        <v>0</v>
      </c>
      <c r="AF25" s="79">
        <v>0</v>
      </c>
      <c r="AG25" s="79">
        <v>0</v>
      </c>
      <c r="AH25" s="79">
        <v>0</v>
      </c>
      <c r="AI25" s="414">
        <v>10</v>
      </c>
      <c r="AJ25" s="77">
        <v>10</v>
      </c>
      <c r="AK25" s="56" t="s">
        <v>83</v>
      </c>
      <c r="AL25" s="58">
        <v>0</v>
      </c>
      <c r="AM25" s="58">
        <v>0</v>
      </c>
      <c r="AN25" s="58">
        <v>0</v>
      </c>
      <c r="AO25" s="58">
        <v>0</v>
      </c>
      <c r="AP25" s="58">
        <v>0</v>
      </c>
      <c r="AQ25" s="58">
        <v>0</v>
      </c>
      <c r="AR25" s="58">
        <v>0</v>
      </c>
      <c r="AS25" s="58">
        <v>0</v>
      </c>
      <c r="AT25" s="58">
        <v>0</v>
      </c>
      <c r="AU25" s="60">
        <v>0</v>
      </c>
      <c r="AV25" s="58">
        <v>0</v>
      </c>
      <c r="AW25" s="58">
        <v>0</v>
      </c>
      <c r="AX25" s="60">
        <v>0</v>
      </c>
      <c r="AY25" s="58">
        <v>0</v>
      </c>
      <c r="AZ25" s="58">
        <v>0</v>
      </c>
      <c r="BA25" s="60">
        <v>0</v>
      </c>
      <c r="BB25" s="58">
        <v>0</v>
      </c>
      <c r="BC25" s="58">
        <v>0</v>
      </c>
      <c r="BD25" s="58">
        <v>0</v>
      </c>
      <c r="BE25" s="58">
        <v>0</v>
      </c>
      <c r="BF25" s="58">
        <v>0</v>
      </c>
      <c r="BG25" s="60">
        <v>0</v>
      </c>
      <c r="BH25" s="58">
        <v>0</v>
      </c>
      <c r="BI25" s="58">
        <v>0</v>
      </c>
      <c r="BJ25" s="58">
        <v>0</v>
      </c>
      <c r="BK25" s="58">
        <v>0</v>
      </c>
      <c r="BL25" s="414">
        <v>10</v>
      </c>
      <c r="BM25" s="33"/>
    </row>
    <row r="26" spans="1:65" s="29" customFormat="1" ht="19.5" customHeight="1">
      <c r="A26" s="77">
        <v>11</v>
      </c>
      <c r="B26" s="56" t="s">
        <v>84</v>
      </c>
      <c r="C26" s="78">
        <f t="shared" si="10"/>
        <v>0</v>
      </c>
      <c r="D26" s="78">
        <f t="shared" si="11"/>
        <v>0</v>
      </c>
      <c r="E26" s="58">
        <v>0</v>
      </c>
      <c r="F26" s="58">
        <v>0</v>
      </c>
      <c r="G26" s="58">
        <v>0</v>
      </c>
      <c r="H26" s="58">
        <v>0</v>
      </c>
      <c r="I26" s="58">
        <v>0</v>
      </c>
      <c r="J26" s="58">
        <v>0</v>
      </c>
      <c r="K26" s="58">
        <v>0</v>
      </c>
      <c r="L26" s="58">
        <v>0</v>
      </c>
      <c r="M26" s="58">
        <v>0</v>
      </c>
      <c r="N26" s="58">
        <v>0</v>
      </c>
      <c r="O26" s="58">
        <v>0</v>
      </c>
      <c r="P26" s="58">
        <v>0</v>
      </c>
      <c r="Q26" s="58">
        <v>0</v>
      </c>
      <c r="R26" s="58">
        <v>0</v>
      </c>
      <c r="S26" s="79">
        <v>0</v>
      </c>
      <c r="T26" s="79">
        <v>0</v>
      </c>
      <c r="U26" s="79">
        <v>0</v>
      </c>
      <c r="V26" s="79">
        <v>0</v>
      </c>
      <c r="W26" s="79">
        <v>0</v>
      </c>
      <c r="X26" s="79">
        <v>0</v>
      </c>
      <c r="Y26" s="79">
        <v>0</v>
      </c>
      <c r="Z26" s="79">
        <v>0</v>
      </c>
      <c r="AA26" s="79">
        <v>0</v>
      </c>
      <c r="AB26" s="79">
        <v>0</v>
      </c>
      <c r="AC26" s="79">
        <v>0</v>
      </c>
      <c r="AD26" s="79">
        <v>0</v>
      </c>
      <c r="AE26" s="79">
        <v>0</v>
      </c>
      <c r="AF26" s="79">
        <v>0</v>
      </c>
      <c r="AG26" s="79">
        <v>0</v>
      </c>
      <c r="AH26" s="79">
        <v>0</v>
      </c>
      <c r="AI26" s="414">
        <v>11</v>
      </c>
      <c r="AJ26" s="77">
        <v>11</v>
      </c>
      <c r="AK26" s="56" t="s">
        <v>84</v>
      </c>
      <c r="AL26" s="58">
        <v>0</v>
      </c>
      <c r="AM26" s="58">
        <v>0</v>
      </c>
      <c r="AN26" s="58">
        <v>0</v>
      </c>
      <c r="AO26" s="58">
        <v>0</v>
      </c>
      <c r="AP26" s="58">
        <v>0</v>
      </c>
      <c r="AQ26" s="58">
        <v>0</v>
      </c>
      <c r="AR26" s="58">
        <v>0</v>
      </c>
      <c r="AS26" s="58">
        <v>0</v>
      </c>
      <c r="AT26" s="58">
        <v>0</v>
      </c>
      <c r="AU26" s="60">
        <v>0</v>
      </c>
      <c r="AV26" s="58">
        <v>0</v>
      </c>
      <c r="AW26" s="58">
        <v>0</v>
      </c>
      <c r="AX26" s="60">
        <v>0</v>
      </c>
      <c r="AY26" s="58">
        <v>0</v>
      </c>
      <c r="AZ26" s="58">
        <v>0</v>
      </c>
      <c r="BA26" s="60">
        <v>0</v>
      </c>
      <c r="BB26" s="58">
        <v>0</v>
      </c>
      <c r="BC26" s="58">
        <v>0</v>
      </c>
      <c r="BD26" s="58">
        <v>0</v>
      </c>
      <c r="BE26" s="58">
        <v>0</v>
      </c>
      <c r="BF26" s="58">
        <v>0</v>
      </c>
      <c r="BG26" s="60">
        <v>0</v>
      </c>
      <c r="BH26" s="58">
        <v>0</v>
      </c>
      <c r="BI26" s="58">
        <v>0</v>
      </c>
      <c r="BJ26" s="58">
        <v>0</v>
      </c>
      <c r="BK26" s="58">
        <v>0</v>
      </c>
      <c r="BL26" s="414">
        <v>11</v>
      </c>
      <c r="BM26" s="33"/>
    </row>
    <row r="27" spans="1:65" s="29" customFormat="1" ht="19.5" customHeight="1">
      <c r="A27" s="77">
        <v>12</v>
      </c>
      <c r="B27" s="56" t="s">
        <v>85</v>
      </c>
      <c r="C27" s="78">
        <f t="shared" si="10"/>
        <v>3</v>
      </c>
      <c r="D27" s="78">
        <f t="shared" si="11"/>
        <v>91563</v>
      </c>
      <c r="E27" s="58">
        <v>1</v>
      </c>
      <c r="F27" s="58">
        <v>53591</v>
      </c>
      <c r="G27" s="58">
        <v>1</v>
      </c>
      <c r="H27" s="58">
        <v>17376</v>
      </c>
      <c r="I27" s="58">
        <v>0</v>
      </c>
      <c r="J27" s="58">
        <v>0</v>
      </c>
      <c r="K27" s="58">
        <v>0</v>
      </c>
      <c r="L27" s="58">
        <v>0</v>
      </c>
      <c r="M27" s="58">
        <v>0</v>
      </c>
      <c r="N27" s="58">
        <v>0</v>
      </c>
      <c r="O27" s="58">
        <v>0</v>
      </c>
      <c r="P27" s="58">
        <v>0</v>
      </c>
      <c r="Q27" s="58">
        <v>0</v>
      </c>
      <c r="R27" s="58">
        <v>0</v>
      </c>
      <c r="S27" s="79">
        <v>0</v>
      </c>
      <c r="T27" s="79">
        <v>0</v>
      </c>
      <c r="U27" s="79">
        <v>0</v>
      </c>
      <c r="V27" s="79">
        <v>0</v>
      </c>
      <c r="W27" s="79">
        <v>0</v>
      </c>
      <c r="X27" s="79">
        <v>0</v>
      </c>
      <c r="Y27" s="79">
        <v>0</v>
      </c>
      <c r="Z27" s="79">
        <v>0</v>
      </c>
      <c r="AA27" s="79">
        <v>0</v>
      </c>
      <c r="AB27" s="79">
        <v>0</v>
      </c>
      <c r="AC27" s="79">
        <v>0</v>
      </c>
      <c r="AD27" s="79">
        <v>0</v>
      </c>
      <c r="AE27" s="79">
        <v>0</v>
      </c>
      <c r="AF27" s="79">
        <v>0</v>
      </c>
      <c r="AG27" s="79">
        <v>0</v>
      </c>
      <c r="AH27" s="79">
        <v>0</v>
      </c>
      <c r="AI27" s="414">
        <v>12</v>
      </c>
      <c r="AJ27" s="77">
        <v>12</v>
      </c>
      <c r="AK27" s="56" t="s">
        <v>85</v>
      </c>
      <c r="AL27" s="58">
        <v>0</v>
      </c>
      <c r="AM27" s="58">
        <v>0</v>
      </c>
      <c r="AN27" s="58">
        <v>0</v>
      </c>
      <c r="AO27" s="58">
        <v>0</v>
      </c>
      <c r="AP27" s="58">
        <v>0</v>
      </c>
      <c r="AQ27" s="58">
        <v>0</v>
      </c>
      <c r="AR27" s="58">
        <v>0</v>
      </c>
      <c r="AS27" s="58">
        <v>0</v>
      </c>
      <c r="AT27" s="58">
        <v>0</v>
      </c>
      <c r="AU27" s="60">
        <v>0</v>
      </c>
      <c r="AV27" s="58">
        <v>0</v>
      </c>
      <c r="AW27" s="58">
        <v>0</v>
      </c>
      <c r="AX27" s="60">
        <v>0</v>
      </c>
      <c r="AY27" s="58">
        <v>0</v>
      </c>
      <c r="AZ27" s="58">
        <v>0</v>
      </c>
      <c r="BA27" s="60"/>
      <c r="BB27" s="58">
        <v>0</v>
      </c>
      <c r="BC27" s="58">
        <v>0</v>
      </c>
      <c r="BD27" s="58">
        <v>0</v>
      </c>
      <c r="BE27" s="58">
        <v>0</v>
      </c>
      <c r="BF27" s="58">
        <v>1</v>
      </c>
      <c r="BG27" s="60"/>
      <c r="BH27" s="58">
        <v>20596</v>
      </c>
      <c r="BI27" s="58">
        <v>0</v>
      </c>
      <c r="BJ27" s="58">
        <v>0</v>
      </c>
      <c r="BK27" s="58">
        <v>0</v>
      </c>
      <c r="BL27" s="414">
        <v>12</v>
      </c>
      <c r="BM27" s="33"/>
    </row>
    <row r="28" spans="1:65" s="29" customFormat="1" ht="19.5" customHeight="1">
      <c r="A28" s="77"/>
      <c r="B28" s="80"/>
      <c r="C28" s="78"/>
      <c r="D28" s="7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414"/>
      <c r="AJ28" s="77"/>
      <c r="AK28" s="80"/>
      <c r="AL28" s="58"/>
      <c r="AM28" s="58"/>
      <c r="AN28" s="58"/>
      <c r="AO28" s="58"/>
      <c r="AP28" s="58"/>
      <c r="AQ28" s="58"/>
      <c r="AR28" s="58"/>
      <c r="AS28" s="58"/>
      <c r="AT28" s="58"/>
      <c r="AU28" s="60"/>
      <c r="AV28" s="58"/>
      <c r="AW28" s="58"/>
      <c r="AX28" s="60"/>
      <c r="AY28" s="58"/>
      <c r="AZ28" s="58"/>
      <c r="BA28" s="60"/>
      <c r="BB28" s="58"/>
      <c r="BC28" s="58"/>
      <c r="BD28" s="60"/>
      <c r="BE28" s="58"/>
      <c r="BF28" s="58"/>
      <c r="BG28" s="60"/>
      <c r="BH28" s="58"/>
      <c r="BI28" s="58"/>
      <c r="BJ28" s="60"/>
      <c r="BK28" s="58"/>
      <c r="BL28" s="414"/>
      <c r="BM28" s="33"/>
    </row>
    <row r="29" spans="1:65" s="84" customFormat="1" ht="19.5" customHeight="1">
      <c r="A29" s="81" t="s">
        <v>86</v>
      </c>
      <c r="B29" s="82"/>
      <c r="C29" s="63">
        <f aca="true" t="shared" si="12" ref="C29:AH29">C30+C36</f>
        <v>37</v>
      </c>
      <c r="D29" s="63">
        <f t="shared" si="12"/>
        <v>1173039</v>
      </c>
      <c r="E29" s="71">
        <f t="shared" si="12"/>
        <v>9</v>
      </c>
      <c r="F29" s="71">
        <f t="shared" si="12"/>
        <v>338616</v>
      </c>
      <c r="G29" s="61">
        <f t="shared" si="12"/>
        <v>5</v>
      </c>
      <c r="H29" s="61">
        <f t="shared" si="12"/>
        <v>152485</v>
      </c>
      <c r="I29" s="61">
        <f t="shared" si="12"/>
        <v>0</v>
      </c>
      <c r="J29" s="61">
        <f t="shared" si="12"/>
        <v>0</v>
      </c>
      <c r="K29" s="61">
        <f t="shared" si="12"/>
        <v>1</v>
      </c>
      <c r="L29" s="61">
        <f t="shared" si="12"/>
        <v>76766</v>
      </c>
      <c r="M29" s="61">
        <f t="shared" si="12"/>
        <v>0</v>
      </c>
      <c r="N29" s="61">
        <f t="shared" si="12"/>
        <v>0</v>
      </c>
      <c r="O29" s="61">
        <f t="shared" si="12"/>
        <v>1</v>
      </c>
      <c r="P29" s="61">
        <f t="shared" si="12"/>
        <v>64708</v>
      </c>
      <c r="Q29" s="61">
        <f t="shared" si="12"/>
        <v>0</v>
      </c>
      <c r="R29" s="61">
        <f t="shared" si="12"/>
        <v>0</v>
      </c>
      <c r="S29" s="61">
        <f t="shared" si="12"/>
        <v>0</v>
      </c>
      <c r="T29" s="61">
        <f t="shared" si="12"/>
        <v>0</v>
      </c>
      <c r="U29" s="61">
        <f t="shared" si="12"/>
        <v>0</v>
      </c>
      <c r="V29" s="61">
        <f t="shared" si="12"/>
        <v>0</v>
      </c>
      <c r="W29" s="61">
        <f t="shared" si="12"/>
        <v>0</v>
      </c>
      <c r="X29" s="61">
        <f t="shared" si="12"/>
        <v>0</v>
      </c>
      <c r="Y29" s="61">
        <f t="shared" si="12"/>
        <v>0</v>
      </c>
      <c r="Z29" s="61">
        <f t="shared" si="12"/>
        <v>0</v>
      </c>
      <c r="AA29" s="61">
        <f t="shared" si="12"/>
        <v>1</v>
      </c>
      <c r="AB29" s="61">
        <f t="shared" si="12"/>
        <v>32783</v>
      </c>
      <c r="AC29" s="61">
        <f t="shared" si="12"/>
        <v>0</v>
      </c>
      <c r="AD29" s="61">
        <f t="shared" si="12"/>
        <v>0</v>
      </c>
      <c r="AE29" s="61">
        <f t="shared" si="12"/>
        <v>12</v>
      </c>
      <c r="AF29" s="61">
        <f t="shared" si="12"/>
        <v>391179</v>
      </c>
      <c r="AG29" s="61">
        <f t="shared" si="12"/>
        <v>0</v>
      </c>
      <c r="AH29" s="61">
        <f t="shared" si="12"/>
        <v>0</v>
      </c>
      <c r="AI29" s="413"/>
      <c r="AJ29" s="81" t="s">
        <v>86</v>
      </c>
      <c r="AK29" s="82"/>
      <c r="AL29" s="61">
        <f aca="true" t="shared" si="13" ref="AL29:BK29">AL30+AL36</f>
        <v>0</v>
      </c>
      <c r="AM29" s="61">
        <f t="shared" si="13"/>
        <v>0</v>
      </c>
      <c r="AN29" s="61">
        <f t="shared" si="13"/>
        <v>0</v>
      </c>
      <c r="AO29" s="61">
        <f t="shared" si="13"/>
        <v>0</v>
      </c>
      <c r="AP29" s="61">
        <f t="shared" si="13"/>
        <v>0</v>
      </c>
      <c r="AQ29" s="61">
        <f t="shared" si="13"/>
        <v>0</v>
      </c>
      <c r="AR29" s="61">
        <f t="shared" si="13"/>
        <v>0</v>
      </c>
      <c r="AS29" s="61">
        <f t="shared" si="13"/>
        <v>0</v>
      </c>
      <c r="AT29" s="61">
        <f t="shared" si="13"/>
        <v>0</v>
      </c>
      <c r="AU29" s="62">
        <f t="shared" si="13"/>
        <v>0</v>
      </c>
      <c r="AV29" s="61">
        <f t="shared" si="13"/>
        <v>0</v>
      </c>
      <c r="AW29" s="61">
        <f t="shared" si="13"/>
        <v>0</v>
      </c>
      <c r="AX29" s="62">
        <f t="shared" si="13"/>
        <v>0</v>
      </c>
      <c r="AY29" s="76">
        <f t="shared" si="13"/>
        <v>0</v>
      </c>
      <c r="AZ29" s="61">
        <f t="shared" si="13"/>
        <v>2</v>
      </c>
      <c r="BA29" s="62">
        <f t="shared" si="13"/>
        <v>0</v>
      </c>
      <c r="BB29" s="61">
        <f t="shared" si="13"/>
        <v>13103</v>
      </c>
      <c r="BC29" s="61">
        <f t="shared" si="13"/>
        <v>0</v>
      </c>
      <c r="BD29" s="62">
        <f t="shared" si="13"/>
        <v>0</v>
      </c>
      <c r="BE29" s="61">
        <f t="shared" si="13"/>
        <v>0</v>
      </c>
      <c r="BF29" s="61">
        <f t="shared" si="13"/>
        <v>6</v>
      </c>
      <c r="BG29" s="62">
        <f t="shared" si="13"/>
        <v>0</v>
      </c>
      <c r="BH29" s="61">
        <f t="shared" si="13"/>
        <v>103399</v>
      </c>
      <c r="BI29" s="61">
        <f t="shared" si="13"/>
        <v>0</v>
      </c>
      <c r="BJ29" s="65">
        <f t="shared" si="13"/>
        <v>0</v>
      </c>
      <c r="BK29" s="61">
        <f t="shared" si="13"/>
        <v>0</v>
      </c>
      <c r="BL29" s="413"/>
      <c r="BM29" s="83"/>
    </row>
    <row r="30" spans="1:65" s="84" customFormat="1" ht="19.5" customHeight="1">
      <c r="A30" s="537" t="s">
        <v>265</v>
      </c>
      <c r="B30" s="507"/>
      <c r="C30" s="63">
        <f aca="true" t="shared" si="14" ref="C30:AH30">SUM(C31:C34)</f>
        <v>20</v>
      </c>
      <c r="D30" s="63">
        <f t="shared" si="14"/>
        <v>583441</v>
      </c>
      <c r="E30" s="71">
        <f t="shared" si="14"/>
        <v>7</v>
      </c>
      <c r="F30" s="71">
        <f t="shared" si="14"/>
        <v>255014</v>
      </c>
      <c r="G30" s="61">
        <f t="shared" si="14"/>
        <v>4</v>
      </c>
      <c r="H30" s="61">
        <f t="shared" si="14"/>
        <v>112389</v>
      </c>
      <c r="I30" s="61">
        <f t="shared" si="14"/>
        <v>0</v>
      </c>
      <c r="J30" s="61">
        <f t="shared" si="14"/>
        <v>0</v>
      </c>
      <c r="K30" s="61">
        <f>SUM(K31:K34)</f>
        <v>0</v>
      </c>
      <c r="L30" s="61">
        <f>SUM(L31:L34)</f>
        <v>0</v>
      </c>
      <c r="M30" s="61">
        <f t="shared" si="14"/>
        <v>0</v>
      </c>
      <c r="N30" s="61">
        <f t="shared" si="14"/>
        <v>0</v>
      </c>
      <c r="O30" s="61">
        <f t="shared" si="14"/>
        <v>1</v>
      </c>
      <c r="P30" s="61">
        <f t="shared" si="14"/>
        <v>64708</v>
      </c>
      <c r="Q30" s="61">
        <f t="shared" si="14"/>
        <v>0</v>
      </c>
      <c r="R30" s="61">
        <f t="shared" si="14"/>
        <v>0</v>
      </c>
      <c r="S30" s="61">
        <f t="shared" si="14"/>
        <v>0</v>
      </c>
      <c r="T30" s="61">
        <f t="shared" si="14"/>
        <v>0</v>
      </c>
      <c r="U30" s="61">
        <f t="shared" si="14"/>
        <v>0</v>
      </c>
      <c r="V30" s="61">
        <f t="shared" si="14"/>
        <v>0</v>
      </c>
      <c r="W30" s="61">
        <f t="shared" si="14"/>
        <v>0</v>
      </c>
      <c r="X30" s="61">
        <f t="shared" si="14"/>
        <v>0</v>
      </c>
      <c r="Y30" s="61">
        <f t="shared" si="14"/>
        <v>0</v>
      </c>
      <c r="Z30" s="61">
        <f t="shared" si="14"/>
        <v>0</v>
      </c>
      <c r="AA30" s="61">
        <f t="shared" si="14"/>
        <v>1</v>
      </c>
      <c r="AB30" s="61">
        <f t="shared" si="14"/>
        <v>32783</v>
      </c>
      <c r="AC30" s="61">
        <f t="shared" si="14"/>
        <v>0</v>
      </c>
      <c r="AD30" s="61">
        <f t="shared" si="14"/>
        <v>0</v>
      </c>
      <c r="AE30" s="61">
        <f t="shared" si="14"/>
        <v>2</v>
      </c>
      <c r="AF30" s="85">
        <f t="shared" si="14"/>
        <v>57960</v>
      </c>
      <c r="AG30" s="61">
        <f t="shared" si="14"/>
        <v>0</v>
      </c>
      <c r="AH30" s="61">
        <f t="shared" si="14"/>
        <v>0</v>
      </c>
      <c r="AI30" s="415"/>
      <c r="AJ30" s="537" t="str">
        <f>A30</f>
        <v>　渋川森林事務所</v>
      </c>
      <c r="AK30" s="507"/>
      <c r="AL30" s="61">
        <f aca="true" t="shared" si="15" ref="AL30:BK30">SUM(AL31:AL34)</f>
        <v>0</v>
      </c>
      <c r="AM30" s="61">
        <f t="shared" si="15"/>
        <v>0</v>
      </c>
      <c r="AN30" s="61">
        <f t="shared" si="15"/>
        <v>0</v>
      </c>
      <c r="AO30" s="61">
        <f t="shared" si="15"/>
        <v>0</v>
      </c>
      <c r="AP30" s="61">
        <f t="shared" si="15"/>
        <v>0</v>
      </c>
      <c r="AQ30" s="61">
        <f t="shared" si="15"/>
        <v>0</v>
      </c>
      <c r="AR30" s="61">
        <f t="shared" si="15"/>
        <v>0</v>
      </c>
      <c r="AS30" s="61">
        <f t="shared" si="15"/>
        <v>0</v>
      </c>
      <c r="AT30" s="61">
        <f t="shared" si="15"/>
        <v>0</v>
      </c>
      <c r="AU30" s="62">
        <f t="shared" si="15"/>
        <v>0</v>
      </c>
      <c r="AV30" s="61">
        <f t="shared" si="15"/>
        <v>0</v>
      </c>
      <c r="AW30" s="61">
        <f t="shared" si="15"/>
        <v>0</v>
      </c>
      <c r="AX30" s="62">
        <f t="shared" si="15"/>
        <v>0</v>
      </c>
      <c r="AY30" s="76">
        <f t="shared" si="15"/>
        <v>0</v>
      </c>
      <c r="AZ30" s="61">
        <f t="shared" si="15"/>
        <v>1</v>
      </c>
      <c r="BA30" s="62">
        <f t="shared" si="15"/>
        <v>0</v>
      </c>
      <c r="BB30" s="61">
        <f t="shared" si="15"/>
        <v>9269</v>
      </c>
      <c r="BC30" s="61">
        <f t="shared" si="15"/>
        <v>0</v>
      </c>
      <c r="BD30" s="62">
        <f t="shared" si="15"/>
        <v>0</v>
      </c>
      <c r="BE30" s="61">
        <f t="shared" si="15"/>
        <v>0</v>
      </c>
      <c r="BF30" s="61">
        <f t="shared" si="15"/>
        <v>4</v>
      </c>
      <c r="BG30" s="62">
        <f t="shared" si="15"/>
        <v>0</v>
      </c>
      <c r="BH30" s="61">
        <f t="shared" si="15"/>
        <v>51318</v>
      </c>
      <c r="BI30" s="61">
        <f t="shared" si="15"/>
        <v>0</v>
      </c>
      <c r="BJ30" s="65">
        <f t="shared" si="15"/>
        <v>0</v>
      </c>
      <c r="BK30" s="61">
        <f t="shared" si="15"/>
        <v>0</v>
      </c>
      <c r="BL30" s="415"/>
      <c r="BM30" s="83"/>
    </row>
    <row r="31" spans="1:64" s="33" customFormat="1" ht="19.5" customHeight="1">
      <c r="A31" s="77">
        <v>13</v>
      </c>
      <c r="B31" s="56" t="s">
        <v>87</v>
      </c>
      <c r="C31" s="78">
        <f>E31+G31+I31+K31+M31+O31+Q31+S31+U31+W31+Y31+AA31+AC31+AE31+AG31+AL31+AP31+AR31+AN31+AT31+AW31+AZ31+BC31+BF31+BI31</f>
        <v>7</v>
      </c>
      <c r="D31" s="78">
        <f>F31+H31+J31+L31+N31+P31+R31+T31+V31+X31+Z31+AB31+AD31+AF31+AH31+AM31+AQ31+AS31+AO31+AV31+AY31+BB31+BE31+BH31+BK31</f>
        <v>161780</v>
      </c>
      <c r="E31" s="58">
        <v>2</v>
      </c>
      <c r="F31" s="58">
        <v>79491</v>
      </c>
      <c r="G31" s="58">
        <v>0</v>
      </c>
      <c r="H31" s="58">
        <v>0</v>
      </c>
      <c r="I31" s="58">
        <v>0</v>
      </c>
      <c r="J31" s="58">
        <v>0</v>
      </c>
      <c r="K31" s="58">
        <v>0</v>
      </c>
      <c r="L31" s="58">
        <v>0</v>
      </c>
      <c r="M31" s="58">
        <v>0</v>
      </c>
      <c r="N31" s="58">
        <v>0</v>
      </c>
      <c r="O31" s="58">
        <v>0</v>
      </c>
      <c r="P31" s="58">
        <v>0</v>
      </c>
      <c r="Q31" s="58">
        <v>0</v>
      </c>
      <c r="R31" s="58">
        <v>0</v>
      </c>
      <c r="S31" s="79">
        <v>0</v>
      </c>
      <c r="T31" s="79">
        <v>0</v>
      </c>
      <c r="U31" s="79">
        <v>0</v>
      </c>
      <c r="V31" s="79">
        <v>0</v>
      </c>
      <c r="W31" s="79">
        <v>0</v>
      </c>
      <c r="X31" s="79">
        <v>0</v>
      </c>
      <c r="Y31" s="79">
        <v>0</v>
      </c>
      <c r="Z31" s="79">
        <v>0</v>
      </c>
      <c r="AA31" s="79">
        <v>1</v>
      </c>
      <c r="AB31" s="79">
        <v>32783</v>
      </c>
      <c r="AC31" s="79">
        <v>0</v>
      </c>
      <c r="AD31" s="79">
        <v>0</v>
      </c>
      <c r="AE31" s="79">
        <v>1</v>
      </c>
      <c r="AF31" s="79">
        <v>12852</v>
      </c>
      <c r="AG31" s="79">
        <v>0</v>
      </c>
      <c r="AH31" s="79">
        <v>0</v>
      </c>
      <c r="AI31" s="414">
        <v>13</v>
      </c>
      <c r="AJ31" s="414">
        <v>13</v>
      </c>
      <c r="AK31" s="56" t="s">
        <v>87</v>
      </c>
      <c r="AL31" s="58">
        <v>0</v>
      </c>
      <c r="AM31" s="58">
        <v>0</v>
      </c>
      <c r="AN31" s="58">
        <v>0</v>
      </c>
      <c r="AO31" s="58">
        <v>0</v>
      </c>
      <c r="AP31" s="58">
        <v>0</v>
      </c>
      <c r="AQ31" s="58">
        <v>0</v>
      </c>
      <c r="AR31" s="58">
        <v>0</v>
      </c>
      <c r="AS31" s="58">
        <v>0</v>
      </c>
      <c r="AT31" s="58">
        <v>0</v>
      </c>
      <c r="AU31" s="60">
        <v>0</v>
      </c>
      <c r="AV31" s="58">
        <v>0</v>
      </c>
      <c r="AW31" s="58">
        <v>0</v>
      </c>
      <c r="AX31" s="60"/>
      <c r="AY31" s="58">
        <v>0</v>
      </c>
      <c r="AZ31" s="58">
        <v>1</v>
      </c>
      <c r="BA31" s="60"/>
      <c r="BB31" s="58">
        <v>9269</v>
      </c>
      <c r="BC31" s="58">
        <v>0</v>
      </c>
      <c r="BD31" s="58">
        <v>0</v>
      </c>
      <c r="BE31" s="58">
        <v>0</v>
      </c>
      <c r="BF31" s="58">
        <v>2</v>
      </c>
      <c r="BG31" s="60"/>
      <c r="BH31" s="58">
        <v>27385</v>
      </c>
      <c r="BI31" s="58">
        <v>0</v>
      </c>
      <c r="BJ31" s="58">
        <v>0</v>
      </c>
      <c r="BK31" s="58">
        <v>0</v>
      </c>
      <c r="BL31" s="414">
        <v>13</v>
      </c>
    </row>
    <row r="32" spans="1:65" s="29" customFormat="1" ht="19.5" customHeight="1">
      <c r="A32" s="77">
        <v>14</v>
      </c>
      <c r="B32" s="56" t="s">
        <v>88</v>
      </c>
      <c r="C32" s="78">
        <f>E32+G32+I32+K32+M32+O32+Q32+S32+U32+W32+Y32+AA32+AC32+AE32+AG32+AL32+AP32+AR32+AN32+AT32+AW32+AZ32+BC32+BF32+BI32</f>
        <v>8</v>
      </c>
      <c r="D32" s="78">
        <f>F32+H32+J32+L32+N32+P32+R32+T32+V32+X32+Z32+AB32+AD32+AF32+AH32+AM32+AQ32+AS32+AO32+AV32+AY32+BB32+BE32+BH32+BK32</f>
        <v>274858</v>
      </c>
      <c r="E32" s="58">
        <v>2</v>
      </c>
      <c r="F32" s="58">
        <v>69349</v>
      </c>
      <c r="G32" s="58">
        <v>3</v>
      </c>
      <c r="H32" s="58">
        <v>72409</v>
      </c>
      <c r="I32" s="58">
        <v>0</v>
      </c>
      <c r="J32" s="58">
        <v>0</v>
      </c>
      <c r="K32" s="58">
        <v>0</v>
      </c>
      <c r="L32" s="58">
        <v>0</v>
      </c>
      <c r="M32" s="58">
        <v>0</v>
      </c>
      <c r="N32" s="58">
        <v>0</v>
      </c>
      <c r="O32" s="58">
        <v>1</v>
      </c>
      <c r="P32" s="58">
        <v>64708</v>
      </c>
      <c r="Q32" s="58">
        <v>0</v>
      </c>
      <c r="R32" s="58">
        <v>0</v>
      </c>
      <c r="S32" s="79">
        <v>0</v>
      </c>
      <c r="T32" s="79">
        <v>0</v>
      </c>
      <c r="U32" s="79">
        <v>0</v>
      </c>
      <c r="V32" s="79">
        <v>0</v>
      </c>
      <c r="W32" s="79">
        <v>0</v>
      </c>
      <c r="X32" s="79">
        <v>0</v>
      </c>
      <c r="Y32" s="79">
        <v>0</v>
      </c>
      <c r="Z32" s="79">
        <v>0</v>
      </c>
      <c r="AA32" s="79">
        <v>0</v>
      </c>
      <c r="AB32" s="79">
        <v>0</v>
      </c>
      <c r="AC32" s="79">
        <v>0</v>
      </c>
      <c r="AD32" s="79">
        <v>0</v>
      </c>
      <c r="AE32" s="79">
        <v>1</v>
      </c>
      <c r="AF32" s="79">
        <v>45108</v>
      </c>
      <c r="AG32" s="79">
        <v>0</v>
      </c>
      <c r="AH32" s="79">
        <v>0</v>
      </c>
      <c r="AI32" s="414">
        <v>14</v>
      </c>
      <c r="AJ32" s="414">
        <v>14</v>
      </c>
      <c r="AK32" s="56" t="s">
        <v>88</v>
      </c>
      <c r="AL32" s="58">
        <v>0</v>
      </c>
      <c r="AM32" s="58">
        <v>0</v>
      </c>
      <c r="AN32" s="58">
        <v>0</v>
      </c>
      <c r="AO32" s="58">
        <v>0</v>
      </c>
      <c r="AP32" s="58">
        <v>0</v>
      </c>
      <c r="AQ32" s="58">
        <v>0</v>
      </c>
      <c r="AR32" s="58">
        <v>0</v>
      </c>
      <c r="AS32" s="58">
        <v>0</v>
      </c>
      <c r="AT32" s="58">
        <v>0</v>
      </c>
      <c r="AU32" s="60">
        <v>0</v>
      </c>
      <c r="AV32" s="58">
        <v>0</v>
      </c>
      <c r="AW32" s="58">
        <v>0</v>
      </c>
      <c r="AX32" s="60">
        <v>0</v>
      </c>
      <c r="AY32" s="58">
        <v>0</v>
      </c>
      <c r="AZ32" s="58">
        <v>0</v>
      </c>
      <c r="BA32" s="60"/>
      <c r="BB32" s="58">
        <v>0</v>
      </c>
      <c r="BC32" s="58">
        <v>0</v>
      </c>
      <c r="BD32" s="58">
        <v>0</v>
      </c>
      <c r="BE32" s="58">
        <v>0</v>
      </c>
      <c r="BF32" s="58">
        <v>1</v>
      </c>
      <c r="BG32" s="60"/>
      <c r="BH32" s="58">
        <v>23284</v>
      </c>
      <c r="BI32" s="58">
        <v>0</v>
      </c>
      <c r="BJ32" s="58">
        <v>0</v>
      </c>
      <c r="BK32" s="58">
        <v>0</v>
      </c>
      <c r="BL32" s="414">
        <v>14</v>
      </c>
      <c r="BM32" s="33"/>
    </row>
    <row r="33" spans="1:65" s="29" customFormat="1" ht="19.5" customHeight="1">
      <c r="A33" s="77">
        <v>15</v>
      </c>
      <c r="B33" s="56" t="s">
        <v>89</v>
      </c>
      <c r="C33" s="78">
        <f>E33+G33+I33+K33+M33+O33+Q33+S33+U33+W33+Y33+AA33+AC33+AE33+AG33+AL33+AP33+AR33+AN33+AT33+AW33+AZ33+BC33+BF33+BI33</f>
        <v>3</v>
      </c>
      <c r="D33" s="78">
        <f>F33+H33+J33+L33+N33+P33+R33+T33+V33+X33+Z33+AB33+AD33+AF33+AH33+AM33+AQ33+AS33+AO33+AV33+AY33+BB33+BE33+BH33+BK33</f>
        <v>52434</v>
      </c>
      <c r="E33" s="58">
        <v>2</v>
      </c>
      <c r="F33" s="58">
        <v>51785</v>
      </c>
      <c r="G33" s="58">
        <v>0</v>
      </c>
      <c r="H33" s="58">
        <v>0</v>
      </c>
      <c r="I33" s="58">
        <v>0</v>
      </c>
      <c r="J33" s="58">
        <v>0</v>
      </c>
      <c r="K33" s="58">
        <v>0</v>
      </c>
      <c r="L33" s="58">
        <v>0</v>
      </c>
      <c r="M33" s="58">
        <v>0</v>
      </c>
      <c r="N33" s="58">
        <v>0</v>
      </c>
      <c r="O33" s="58">
        <v>0</v>
      </c>
      <c r="P33" s="58">
        <v>0</v>
      </c>
      <c r="Q33" s="58">
        <v>0</v>
      </c>
      <c r="R33" s="58">
        <v>0</v>
      </c>
      <c r="S33" s="79">
        <v>0</v>
      </c>
      <c r="T33" s="79">
        <v>0</v>
      </c>
      <c r="U33" s="79">
        <v>0</v>
      </c>
      <c r="V33" s="79">
        <v>0</v>
      </c>
      <c r="W33" s="79">
        <v>0</v>
      </c>
      <c r="X33" s="79">
        <v>0</v>
      </c>
      <c r="Y33" s="79">
        <v>0</v>
      </c>
      <c r="Z33" s="79">
        <v>0</v>
      </c>
      <c r="AA33" s="79">
        <v>0</v>
      </c>
      <c r="AB33" s="79">
        <v>0</v>
      </c>
      <c r="AC33" s="79">
        <v>0</v>
      </c>
      <c r="AD33" s="79">
        <v>0</v>
      </c>
      <c r="AE33" s="79">
        <v>0</v>
      </c>
      <c r="AF33" s="79">
        <v>0</v>
      </c>
      <c r="AG33" s="79">
        <v>0</v>
      </c>
      <c r="AH33" s="79">
        <v>0</v>
      </c>
      <c r="AI33" s="414">
        <v>15</v>
      </c>
      <c r="AJ33" s="414">
        <v>15</v>
      </c>
      <c r="AK33" s="56" t="s">
        <v>89</v>
      </c>
      <c r="AL33" s="58">
        <v>0</v>
      </c>
      <c r="AM33" s="58">
        <v>0</v>
      </c>
      <c r="AN33" s="58">
        <v>0</v>
      </c>
      <c r="AO33" s="58">
        <v>0</v>
      </c>
      <c r="AP33" s="58">
        <v>0</v>
      </c>
      <c r="AQ33" s="58">
        <v>0</v>
      </c>
      <c r="AR33" s="58">
        <v>0</v>
      </c>
      <c r="AS33" s="58">
        <v>0</v>
      </c>
      <c r="AT33" s="58">
        <v>0</v>
      </c>
      <c r="AU33" s="60">
        <v>0</v>
      </c>
      <c r="AV33" s="58">
        <v>0</v>
      </c>
      <c r="AW33" s="58">
        <v>0</v>
      </c>
      <c r="AX33" s="60">
        <v>0</v>
      </c>
      <c r="AY33" s="58">
        <v>0</v>
      </c>
      <c r="AZ33" s="58">
        <v>0</v>
      </c>
      <c r="BA33" s="60"/>
      <c r="BB33" s="58">
        <v>0</v>
      </c>
      <c r="BC33" s="58">
        <v>0</v>
      </c>
      <c r="BD33" s="58">
        <v>0</v>
      </c>
      <c r="BE33" s="58">
        <v>0</v>
      </c>
      <c r="BF33" s="58">
        <v>1</v>
      </c>
      <c r="BG33" s="60"/>
      <c r="BH33" s="58">
        <v>649</v>
      </c>
      <c r="BI33" s="58">
        <v>0</v>
      </c>
      <c r="BJ33" s="58">
        <v>0</v>
      </c>
      <c r="BK33" s="58">
        <v>0</v>
      </c>
      <c r="BL33" s="414">
        <v>16</v>
      </c>
      <c r="BM33" s="33"/>
    </row>
    <row r="34" spans="1:65" s="29" customFormat="1" ht="19.5" customHeight="1">
      <c r="A34" s="77">
        <v>16</v>
      </c>
      <c r="B34" s="56" t="s">
        <v>90</v>
      </c>
      <c r="C34" s="78">
        <f>E34+G34+I34+K34+M34+O34+Q34+S34+U34+W34+Y34+AA34+AC34+AE34+AG34+AL34+AP34+AR34+AN34+AT34+AW34+AZ34+BC34+BF34+BI34</f>
        <v>2</v>
      </c>
      <c r="D34" s="78">
        <f>F34+H34+J34+L34+N34+P34+R34+T34+V34+X34+Z34+AB34+AD34+AF34+AH34+AM34+AQ34+AS34+AO34+AV34+AY34+BB34+BE34+BH34+BK34</f>
        <v>94369</v>
      </c>
      <c r="E34" s="58">
        <v>1</v>
      </c>
      <c r="F34" s="58">
        <v>54389</v>
      </c>
      <c r="G34" s="58">
        <v>1</v>
      </c>
      <c r="H34" s="58">
        <v>39980</v>
      </c>
      <c r="I34" s="58">
        <v>0</v>
      </c>
      <c r="J34" s="58">
        <v>0</v>
      </c>
      <c r="K34" s="58">
        <v>0</v>
      </c>
      <c r="L34" s="58">
        <v>0</v>
      </c>
      <c r="M34" s="58">
        <v>0</v>
      </c>
      <c r="N34" s="58">
        <v>0</v>
      </c>
      <c r="O34" s="58">
        <v>0</v>
      </c>
      <c r="P34" s="58">
        <v>0</v>
      </c>
      <c r="Q34" s="58">
        <v>0</v>
      </c>
      <c r="R34" s="58">
        <v>0</v>
      </c>
      <c r="S34" s="79">
        <v>0</v>
      </c>
      <c r="T34" s="79">
        <v>0</v>
      </c>
      <c r="U34" s="79">
        <v>0</v>
      </c>
      <c r="V34" s="79">
        <v>0</v>
      </c>
      <c r="W34" s="79">
        <v>0</v>
      </c>
      <c r="X34" s="79">
        <v>0</v>
      </c>
      <c r="Y34" s="79">
        <v>0</v>
      </c>
      <c r="Z34" s="79">
        <v>0</v>
      </c>
      <c r="AA34" s="79">
        <v>0</v>
      </c>
      <c r="AB34" s="79">
        <v>0</v>
      </c>
      <c r="AC34" s="79">
        <v>0</v>
      </c>
      <c r="AD34" s="79">
        <v>0</v>
      </c>
      <c r="AE34" s="79">
        <v>0</v>
      </c>
      <c r="AF34" s="79">
        <v>0</v>
      </c>
      <c r="AG34" s="79">
        <v>0</v>
      </c>
      <c r="AH34" s="79">
        <v>0</v>
      </c>
      <c r="AI34" s="414">
        <v>16</v>
      </c>
      <c r="AJ34" s="414">
        <v>16</v>
      </c>
      <c r="AK34" s="56" t="s">
        <v>90</v>
      </c>
      <c r="AL34" s="58">
        <v>0</v>
      </c>
      <c r="AM34" s="58">
        <v>0</v>
      </c>
      <c r="AN34" s="58">
        <v>0</v>
      </c>
      <c r="AO34" s="58">
        <v>0</v>
      </c>
      <c r="AP34" s="58">
        <v>0</v>
      </c>
      <c r="AQ34" s="58">
        <v>0</v>
      </c>
      <c r="AR34" s="58">
        <v>0</v>
      </c>
      <c r="AS34" s="58">
        <v>0</v>
      </c>
      <c r="AT34" s="58">
        <v>0</v>
      </c>
      <c r="AU34" s="60">
        <v>0</v>
      </c>
      <c r="AV34" s="58">
        <v>0</v>
      </c>
      <c r="AW34" s="58">
        <v>0</v>
      </c>
      <c r="AX34" s="60">
        <v>0</v>
      </c>
      <c r="AY34" s="58">
        <v>0</v>
      </c>
      <c r="AZ34" s="58">
        <v>0</v>
      </c>
      <c r="BA34" s="60">
        <v>0</v>
      </c>
      <c r="BB34" s="58">
        <v>0</v>
      </c>
      <c r="BC34" s="58">
        <v>0</v>
      </c>
      <c r="BD34" s="58">
        <v>0</v>
      </c>
      <c r="BE34" s="58">
        <v>0</v>
      </c>
      <c r="BF34" s="58">
        <v>0</v>
      </c>
      <c r="BG34" s="60">
        <v>0</v>
      </c>
      <c r="BH34" s="58">
        <v>0</v>
      </c>
      <c r="BI34" s="58">
        <v>0</v>
      </c>
      <c r="BJ34" s="58">
        <v>0</v>
      </c>
      <c r="BK34" s="58">
        <v>0</v>
      </c>
      <c r="BL34" s="414">
        <v>17</v>
      </c>
      <c r="BM34" s="33"/>
    </row>
    <row r="35" spans="1:65" s="29" customFormat="1" ht="19.5" customHeight="1">
      <c r="A35" s="77"/>
      <c r="B35" s="80"/>
      <c r="C35" s="78"/>
      <c r="D35" s="78"/>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414"/>
      <c r="AJ35" s="77"/>
      <c r="AK35" s="80"/>
      <c r="AL35" s="58"/>
      <c r="AM35" s="58"/>
      <c r="AN35" s="58"/>
      <c r="AO35" s="58"/>
      <c r="AP35" s="58"/>
      <c r="AQ35" s="58"/>
      <c r="AR35" s="58"/>
      <c r="AS35" s="58"/>
      <c r="AT35" s="58"/>
      <c r="AU35" s="60"/>
      <c r="AV35" s="58"/>
      <c r="AW35" s="58"/>
      <c r="AX35" s="60"/>
      <c r="AY35" s="58"/>
      <c r="AZ35" s="58"/>
      <c r="BA35" s="60">
        <v>0</v>
      </c>
      <c r="BB35" s="58"/>
      <c r="BC35" s="58"/>
      <c r="BD35" s="60"/>
      <c r="BE35" s="58"/>
      <c r="BF35" s="58"/>
      <c r="BG35" s="60"/>
      <c r="BH35" s="58"/>
      <c r="BI35" s="58"/>
      <c r="BJ35" s="60"/>
      <c r="BK35" s="58"/>
      <c r="BL35" s="414"/>
      <c r="BM35" s="33"/>
    </row>
    <row r="36" spans="1:65" s="84" customFormat="1" ht="19.5" customHeight="1">
      <c r="A36" s="537" t="s">
        <v>266</v>
      </c>
      <c r="B36" s="507"/>
      <c r="C36" s="63">
        <f aca="true" t="shared" si="16" ref="C36:AF36">SUM(C37:C47)</f>
        <v>17</v>
      </c>
      <c r="D36" s="63">
        <f t="shared" si="16"/>
        <v>589598</v>
      </c>
      <c r="E36" s="71">
        <f t="shared" si="16"/>
        <v>2</v>
      </c>
      <c r="F36" s="71">
        <f t="shared" si="16"/>
        <v>83602</v>
      </c>
      <c r="G36" s="61">
        <f t="shared" si="16"/>
        <v>1</v>
      </c>
      <c r="H36" s="61">
        <f t="shared" si="16"/>
        <v>40096</v>
      </c>
      <c r="I36" s="61">
        <f t="shared" si="16"/>
        <v>0</v>
      </c>
      <c r="J36" s="61">
        <f t="shared" si="16"/>
        <v>0</v>
      </c>
      <c r="K36" s="61">
        <f>SUM(K37:K47)</f>
        <v>1</v>
      </c>
      <c r="L36" s="61">
        <f>SUM(L37:L47)</f>
        <v>76766</v>
      </c>
      <c r="M36" s="61">
        <f t="shared" si="16"/>
        <v>0</v>
      </c>
      <c r="N36" s="61">
        <f t="shared" si="16"/>
        <v>0</v>
      </c>
      <c r="O36" s="61">
        <f t="shared" si="16"/>
        <v>0</v>
      </c>
      <c r="P36" s="61">
        <f t="shared" si="16"/>
        <v>0</v>
      </c>
      <c r="Q36" s="61">
        <f t="shared" si="16"/>
        <v>0</v>
      </c>
      <c r="R36" s="61">
        <f t="shared" si="16"/>
        <v>0</v>
      </c>
      <c r="S36" s="61">
        <f t="shared" si="16"/>
        <v>0</v>
      </c>
      <c r="T36" s="61">
        <f t="shared" si="16"/>
        <v>0</v>
      </c>
      <c r="U36" s="61">
        <f t="shared" si="16"/>
        <v>0</v>
      </c>
      <c r="V36" s="61">
        <f t="shared" si="16"/>
        <v>0</v>
      </c>
      <c r="W36" s="61">
        <f t="shared" si="16"/>
        <v>0</v>
      </c>
      <c r="X36" s="61">
        <f t="shared" si="16"/>
        <v>0</v>
      </c>
      <c r="Y36" s="61">
        <f t="shared" si="16"/>
        <v>0</v>
      </c>
      <c r="Z36" s="61">
        <f t="shared" si="16"/>
        <v>0</v>
      </c>
      <c r="AA36" s="61">
        <f t="shared" si="16"/>
        <v>0</v>
      </c>
      <c r="AB36" s="61">
        <f t="shared" si="16"/>
        <v>0</v>
      </c>
      <c r="AC36" s="61">
        <f t="shared" si="16"/>
        <v>0</v>
      </c>
      <c r="AD36" s="61">
        <f t="shared" si="16"/>
        <v>0</v>
      </c>
      <c r="AE36" s="61">
        <f t="shared" si="16"/>
        <v>10</v>
      </c>
      <c r="AF36" s="61">
        <f t="shared" si="16"/>
        <v>333219</v>
      </c>
      <c r="AG36" s="61">
        <f>SUM(AG37:AG47)</f>
        <v>0</v>
      </c>
      <c r="AH36" s="61">
        <f>SUM(AH37:AH47)</f>
        <v>0</v>
      </c>
      <c r="AI36" s="413"/>
      <c r="AJ36" s="537" t="str">
        <f>A36</f>
        <v>　桐生森林事務所</v>
      </c>
      <c r="AK36" s="507"/>
      <c r="AL36" s="61">
        <f aca="true" t="shared" si="17" ref="AL36:BK36">SUM(AL37:AL47)</f>
        <v>0</v>
      </c>
      <c r="AM36" s="61">
        <f t="shared" si="17"/>
        <v>0</v>
      </c>
      <c r="AN36" s="61">
        <f t="shared" si="17"/>
        <v>0</v>
      </c>
      <c r="AO36" s="61">
        <f t="shared" si="17"/>
        <v>0</v>
      </c>
      <c r="AP36" s="61">
        <f t="shared" si="17"/>
        <v>0</v>
      </c>
      <c r="AQ36" s="61">
        <f t="shared" si="17"/>
        <v>0</v>
      </c>
      <c r="AR36" s="61">
        <f t="shared" si="17"/>
        <v>0</v>
      </c>
      <c r="AS36" s="61">
        <f t="shared" si="17"/>
        <v>0</v>
      </c>
      <c r="AT36" s="61">
        <f t="shared" si="17"/>
        <v>0</v>
      </c>
      <c r="AU36" s="62">
        <f t="shared" si="17"/>
        <v>0</v>
      </c>
      <c r="AV36" s="61">
        <f t="shared" si="17"/>
        <v>0</v>
      </c>
      <c r="AW36" s="61">
        <f t="shared" si="17"/>
        <v>0</v>
      </c>
      <c r="AX36" s="62">
        <f t="shared" si="17"/>
        <v>0</v>
      </c>
      <c r="AY36" s="76">
        <f t="shared" si="17"/>
        <v>0</v>
      </c>
      <c r="AZ36" s="61">
        <f t="shared" si="17"/>
        <v>1</v>
      </c>
      <c r="BA36" s="62">
        <f t="shared" si="17"/>
        <v>0</v>
      </c>
      <c r="BB36" s="61">
        <f t="shared" si="17"/>
        <v>3834</v>
      </c>
      <c r="BC36" s="61">
        <f t="shared" si="17"/>
        <v>0</v>
      </c>
      <c r="BD36" s="62">
        <f t="shared" si="17"/>
        <v>0</v>
      </c>
      <c r="BE36" s="61">
        <f t="shared" si="17"/>
        <v>0</v>
      </c>
      <c r="BF36" s="61">
        <f t="shared" si="17"/>
        <v>2</v>
      </c>
      <c r="BG36" s="62">
        <f t="shared" si="17"/>
        <v>0</v>
      </c>
      <c r="BH36" s="61">
        <f t="shared" si="17"/>
        <v>52081</v>
      </c>
      <c r="BI36" s="61">
        <f t="shared" si="17"/>
        <v>0</v>
      </c>
      <c r="BJ36" s="65">
        <f t="shared" si="17"/>
        <v>0</v>
      </c>
      <c r="BK36" s="61">
        <f t="shared" si="17"/>
        <v>0</v>
      </c>
      <c r="BL36" s="413"/>
      <c r="BM36" s="83"/>
    </row>
    <row r="37" spans="1:65" s="29" customFormat="1" ht="19.5" customHeight="1">
      <c r="A37" s="77">
        <v>17</v>
      </c>
      <c r="B37" s="56" t="s">
        <v>91</v>
      </c>
      <c r="C37" s="78">
        <f aca="true" t="shared" si="18" ref="C37:C47">E37+G37+I37+K37+M37+O37+Q37+S37+U37+W37+Y37+AA37+AC37+AE37+AG37+AL37+AP37+AR37+AN37+AT37+AW37+AZ37+BC37+BF37+BI37</f>
        <v>6</v>
      </c>
      <c r="D37" s="78">
        <f aca="true" t="shared" si="19" ref="D37:D47">F37+H37+J37+L37+N37+P37+R37+T37+V37+X37+Z37+AB37+AD37+AF37+AH37+AM37+AQ37+AS37+AO37+AV37+AY37+BB37+BE37+BH37+BK37</f>
        <v>208726</v>
      </c>
      <c r="E37" s="58">
        <v>1</v>
      </c>
      <c r="F37" s="58">
        <v>49247</v>
      </c>
      <c r="G37" s="58">
        <v>0</v>
      </c>
      <c r="H37" s="58">
        <v>0</v>
      </c>
      <c r="I37" s="58">
        <v>0</v>
      </c>
      <c r="J37" s="58">
        <v>0</v>
      </c>
      <c r="K37" s="58">
        <v>0</v>
      </c>
      <c r="L37" s="58">
        <v>0</v>
      </c>
      <c r="M37" s="58">
        <v>0</v>
      </c>
      <c r="N37" s="58">
        <v>0</v>
      </c>
      <c r="O37" s="58"/>
      <c r="P37" s="58"/>
      <c r="Q37" s="58">
        <v>0</v>
      </c>
      <c r="R37" s="58">
        <v>0</v>
      </c>
      <c r="S37" s="79">
        <v>0</v>
      </c>
      <c r="T37" s="79">
        <v>0</v>
      </c>
      <c r="U37" s="79">
        <v>0</v>
      </c>
      <c r="V37" s="79">
        <v>0</v>
      </c>
      <c r="W37" s="79">
        <v>0</v>
      </c>
      <c r="X37" s="79">
        <v>0</v>
      </c>
      <c r="Y37" s="79">
        <v>0</v>
      </c>
      <c r="Z37" s="79">
        <v>0</v>
      </c>
      <c r="AA37" s="79">
        <v>0</v>
      </c>
      <c r="AB37" s="79">
        <v>0</v>
      </c>
      <c r="AC37" s="79">
        <v>0</v>
      </c>
      <c r="AD37" s="79">
        <v>0</v>
      </c>
      <c r="AE37" s="79">
        <v>4</v>
      </c>
      <c r="AF37" s="79">
        <v>132903</v>
      </c>
      <c r="AG37" s="79">
        <v>0</v>
      </c>
      <c r="AH37" s="79">
        <v>0</v>
      </c>
      <c r="AI37" s="414">
        <v>17</v>
      </c>
      <c r="AJ37" s="414">
        <v>17</v>
      </c>
      <c r="AK37" s="56" t="s">
        <v>91</v>
      </c>
      <c r="AL37" s="58">
        <v>0</v>
      </c>
      <c r="AM37" s="58">
        <v>0</v>
      </c>
      <c r="AN37" s="58">
        <v>0</v>
      </c>
      <c r="AO37" s="58">
        <v>0</v>
      </c>
      <c r="AP37" s="58">
        <v>0</v>
      </c>
      <c r="AQ37" s="58">
        <v>0</v>
      </c>
      <c r="AR37" s="58">
        <v>0</v>
      </c>
      <c r="AS37" s="58">
        <v>0</v>
      </c>
      <c r="AT37" s="58"/>
      <c r="AU37" s="60"/>
      <c r="AV37" s="58"/>
      <c r="AW37" s="58">
        <v>0</v>
      </c>
      <c r="AX37" s="60">
        <v>0</v>
      </c>
      <c r="AY37" s="58">
        <v>0</v>
      </c>
      <c r="AZ37" s="58">
        <v>0</v>
      </c>
      <c r="BA37" s="60">
        <v>0</v>
      </c>
      <c r="BB37" s="58">
        <v>0</v>
      </c>
      <c r="BC37" s="58">
        <v>0</v>
      </c>
      <c r="BD37" s="58">
        <v>0</v>
      </c>
      <c r="BE37" s="58">
        <v>0</v>
      </c>
      <c r="BF37" s="58">
        <v>1</v>
      </c>
      <c r="BG37" s="60"/>
      <c r="BH37" s="58">
        <v>26576</v>
      </c>
      <c r="BI37" s="58">
        <v>0</v>
      </c>
      <c r="BJ37" s="58">
        <v>0</v>
      </c>
      <c r="BK37" s="58">
        <v>0</v>
      </c>
      <c r="BL37" s="414">
        <v>18</v>
      </c>
      <c r="BM37" s="33"/>
    </row>
    <row r="38" spans="1:65" s="29" customFormat="1" ht="19.5" customHeight="1">
      <c r="A38" s="77">
        <v>18</v>
      </c>
      <c r="B38" s="56" t="s">
        <v>92</v>
      </c>
      <c r="C38" s="78">
        <f t="shared" si="18"/>
        <v>0</v>
      </c>
      <c r="D38" s="78">
        <f t="shared" si="19"/>
        <v>0</v>
      </c>
      <c r="E38" s="58">
        <v>0</v>
      </c>
      <c r="F38" s="58">
        <v>0</v>
      </c>
      <c r="G38" s="58">
        <v>0</v>
      </c>
      <c r="H38" s="58">
        <v>0</v>
      </c>
      <c r="I38" s="58">
        <v>0</v>
      </c>
      <c r="J38" s="58">
        <v>0</v>
      </c>
      <c r="K38" s="58">
        <v>0</v>
      </c>
      <c r="L38" s="58">
        <v>0</v>
      </c>
      <c r="M38" s="58">
        <v>0</v>
      </c>
      <c r="N38" s="58">
        <v>0</v>
      </c>
      <c r="O38" s="58">
        <v>0</v>
      </c>
      <c r="P38" s="58">
        <v>0</v>
      </c>
      <c r="Q38" s="58">
        <v>0</v>
      </c>
      <c r="R38" s="58">
        <v>0</v>
      </c>
      <c r="S38" s="79">
        <v>0</v>
      </c>
      <c r="T38" s="79">
        <v>0</v>
      </c>
      <c r="U38" s="79">
        <v>0</v>
      </c>
      <c r="V38" s="79">
        <v>0</v>
      </c>
      <c r="W38" s="79">
        <v>0</v>
      </c>
      <c r="X38" s="79">
        <v>0</v>
      </c>
      <c r="Y38" s="79">
        <v>0</v>
      </c>
      <c r="Z38" s="79">
        <v>0</v>
      </c>
      <c r="AA38" s="79">
        <v>0</v>
      </c>
      <c r="AB38" s="79">
        <v>0</v>
      </c>
      <c r="AC38" s="79">
        <v>0</v>
      </c>
      <c r="AD38" s="79">
        <v>0</v>
      </c>
      <c r="AE38" s="79">
        <v>0</v>
      </c>
      <c r="AF38" s="79">
        <v>0</v>
      </c>
      <c r="AG38" s="79">
        <v>0</v>
      </c>
      <c r="AH38" s="79">
        <v>0</v>
      </c>
      <c r="AI38" s="414">
        <v>18</v>
      </c>
      <c r="AJ38" s="414">
        <v>18</v>
      </c>
      <c r="AK38" s="56" t="s">
        <v>92</v>
      </c>
      <c r="AL38" s="58">
        <v>0</v>
      </c>
      <c r="AM38" s="58">
        <v>0</v>
      </c>
      <c r="AN38" s="58">
        <v>0</v>
      </c>
      <c r="AO38" s="58">
        <v>0</v>
      </c>
      <c r="AP38" s="58">
        <v>0</v>
      </c>
      <c r="AQ38" s="58">
        <v>0</v>
      </c>
      <c r="AR38" s="58">
        <v>0</v>
      </c>
      <c r="AS38" s="58">
        <v>0</v>
      </c>
      <c r="AT38" s="58">
        <v>0</v>
      </c>
      <c r="AU38" s="60">
        <v>0</v>
      </c>
      <c r="AV38" s="58">
        <v>0</v>
      </c>
      <c r="AW38" s="58">
        <v>0</v>
      </c>
      <c r="AX38" s="60">
        <v>0</v>
      </c>
      <c r="AY38" s="58">
        <v>0</v>
      </c>
      <c r="AZ38" s="58">
        <v>0</v>
      </c>
      <c r="BA38" s="60">
        <v>0</v>
      </c>
      <c r="BB38" s="58">
        <v>0</v>
      </c>
      <c r="BC38" s="58">
        <v>0</v>
      </c>
      <c r="BD38" s="58">
        <v>0</v>
      </c>
      <c r="BE38" s="58">
        <v>0</v>
      </c>
      <c r="BF38" s="58">
        <v>0</v>
      </c>
      <c r="BG38" s="60">
        <v>0</v>
      </c>
      <c r="BH38" s="58">
        <v>0</v>
      </c>
      <c r="BI38" s="58">
        <v>0</v>
      </c>
      <c r="BJ38" s="58">
        <v>0</v>
      </c>
      <c r="BK38" s="58">
        <v>0</v>
      </c>
      <c r="BL38" s="414">
        <v>19</v>
      </c>
      <c r="BM38" s="33"/>
    </row>
    <row r="39" spans="1:65" s="29" customFormat="1" ht="19.5" customHeight="1">
      <c r="A39" s="77">
        <v>19</v>
      </c>
      <c r="B39" s="56" t="s">
        <v>93</v>
      </c>
      <c r="C39" s="78">
        <f t="shared" si="18"/>
        <v>0</v>
      </c>
      <c r="D39" s="78">
        <f t="shared" si="19"/>
        <v>0</v>
      </c>
      <c r="E39" s="58">
        <v>0</v>
      </c>
      <c r="F39" s="58">
        <v>0</v>
      </c>
      <c r="G39" s="58">
        <v>0</v>
      </c>
      <c r="H39" s="58">
        <v>0</v>
      </c>
      <c r="I39" s="58">
        <v>0</v>
      </c>
      <c r="J39" s="58">
        <v>0</v>
      </c>
      <c r="K39" s="58">
        <v>0</v>
      </c>
      <c r="L39" s="58">
        <v>0</v>
      </c>
      <c r="M39" s="58">
        <v>0</v>
      </c>
      <c r="N39" s="58">
        <v>0</v>
      </c>
      <c r="O39" s="58">
        <v>0</v>
      </c>
      <c r="P39" s="58">
        <v>0</v>
      </c>
      <c r="Q39" s="58">
        <v>0</v>
      </c>
      <c r="R39" s="58">
        <v>0</v>
      </c>
      <c r="S39" s="79">
        <v>0</v>
      </c>
      <c r="T39" s="79">
        <v>0</v>
      </c>
      <c r="U39" s="79">
        <v>0</v>
      </c>
      <c r="V39" s="79">
        <v>0</v>
      </c>
      <c r="W39" s="79">
        <v>0</v>
      </c>
      <c r="X39" s="79">
        <v>0</v>
      </c>
      <c r="Y39" s="79">
        <v>0</v>
      </c>
      <c r="Z39" s="79">
        <v>0</v>
      </c>
      <c r="AA39" s="79">
        <v>0</v>
      </c>
      <c r="AB39" s="79">
        <v>0</v>
      </c>
      <c r="AC39" s="79">
        <v>0</v>
      </c>
      <c r="AD39" s="79">
        <v>0</v>
      </c>
      <c r="AE39" s="79">
        <v>0</v>
      </c>
      <c r="AF39" s="79">
        <v>0</v>
      </c>
      <c r="AG39" s="79">
        <v>0</v>
      </c>
      <c r="AH39" s="79">
        <v>0</v>
      </c>
      <c r="AI39" s="414">
        <v>19</v>
      </c>
      <c r="AJ39" s="414">
        <v>19</v>
      </c>
      <c r="AK39" s="56" t="s">
        <v>93</v>
      </c>
      <c r="AL39" s="58">
        <v>0</v>
      </c>
      <c r="AM39" s="58">
        <v>0</v>
      </c>
      <c r="AN39" s="58">
        <v>0</v>
      </c>
      <c r="AO39" s="58">
        <v>0</v>
      </c>
      <c r="AP39" s="58">
        <v>0</v>
      </c>
      <c r="AQ39" s="58">
        <v>0</v>
      </c>
      <c r="AR39" s="58">
        <v>0</v>
      </c>
      <c r="AS39" s="58">
        <v>0</v>
      </c>
      <c r="AT39" s="58">
        <v>0</v>
      </c>
      <c r="AU39" s="60">
        <v>0</v>
      </c>
      <c r="AV39" s="58">
        <v>0</v>
      </c>
      <c r="AW39" s="58">
        <v>0</v>
      </c>
      <c r="AX39" s="60">
        <v>0</v>
      </c>
      <c r="AY39" s="58">
        <v>0</v>
      </c>
      <c r="AZ39" s="58">
        <v>0</v>
      </c>
      <c r="BA39" s="60">
        <v>0</v>
      </c>
      <c r="BB39" s="58">
        <v>0</v>
      </c>
      <c r="BC39" s="58">
        <v>0</v>
      </c>
      <c r="BD39" s="58">
        <v>0</v>
      </c>
      <c r="BE39" s="58">
        <v>0</v>
      </c>
      <c r="BF39" s="58">
        <v>0</v>
      </c>
      <c r="BG39" s="60">
        <v>0</v>
      </c>
      <c r="BH39" s="58">
        <v>0</v>
      </c>
      <c r="BI39" s="58">
        <v>0</v>
      </c>
      <c r="BJ39" s="58">
        <v>0</v>
      </c>
      <c r="BK39" s="58">
        <v>0</v>
      </c>
      <c r="BL39" s="414">
        <v>20</v>
      </c>
      <c r="BM39" s="33"/>
    </row>
    <row r="40" spans="1:65" s="29" customFormat="1" ht="19.5" customHeight="1">
      <c r="A40" s="77">
        <v>20</v>
      </c>
      <c r="B40" s="56" t="s">
        <v>94</v>
      </c>
      <c r="C40" s="78">
        <f t="shared" si="18"/>
        <v>0</v>
      </c>
      <c r="D40" s="78">
        <f t="shared" si="19"/>
        <v>0</v>
      </c>
      <c r="E40" s="58">
        <v>0</v>
      </c>
      <c r="F40" s="58">
        <v>0</v>
      </c>
      <c r="G40" s="58">
        <v>0</v>
      </c>
      <c r="H40" s="58">
        <v>0</v>
      </c>
      <c r="I40" s="58">
        <v>0</v>
      </c>
      <c r="J40" s="58">
        <v>0</v>
      </c>
      <c r="K40" s="58">
        <v>0</v>
      </c>
      <c r="L40" s="58">
        <v>0</v>
      </c>
      <c r="M40" s="58">
        <v>0</v>
      </c>
      <c r="N40" s="58">
        <v>0</v>
      </c>
      <c r="O40" s="58">
        <v>0</v>
      </c>
      <c r="P40" s="58">
        <v>0</v>
      </c>
      <c r="Q40" s="58">
        <v>0</v>
      </c>
      <c r="R40" s="58">
        <v>0</v>
      </c>
      <c r="S40" s="79">
        <v>0</v>
      </c>
      <c r="T40" s="79">
        <v>0</v>
      </c>
      <c r="U40" s="79">
        <v>0</v>
      </c>
      <c r="V40" s="79">
        <v>0</v>
      </c>
      <c r="W40" s="79">
        <v>0</v>
      </c>
      <c r="X40" s="79">
        <v>0</v>
      </c>
      <c r="Y40" s="79">
        <v>0</v>
      </c>
      <c r="Z40" s="79">
        <v>0</v>
      </c>
      <c r="AA40" s="79">
        <v>0</v>
      </c>
      <c r="AB40" s="79">
        <v>0</v>
      </c>
      <c r="AC40" s="79">
        <v>0</v>
      </c>
      <c r="AD40" s="79">
        <v>0</v>
      </c>
      <c r="AE40" s="79">
        <v>0</v>
      </c>
      <c r="AF40" s="79">
        <v>0</v>
      </c>
      <c r="AG40" s="79">
        <v>0</v>
      </c>
      <c r="AH40" s="79">
        <v>0</v>
      </c>
      <c r="AI40" s="414">
        <v>20</v>
      </c>
      <c r="AJ40" s="414">
        <v>20</v>
      </c>
      <c r="AK40" s="56" t="s">
        <v>94</v>
      </c>
      <c r="AL40" s="58">
        <v>0</v>
      </c>
      <c r="AM40" s="58">
        <v>0</v>
      </c>
      <c r="AN40" s="58">
        <v>0</v>
      </c>
      <c r="AO40" s="58">
        <v>0</v>
      </c>
      <c r="AP40" s="58">
        <v>0</v>
      </c>
      <c r="AQ40" s="58">
        <v>0</v>
      </c>
      <c r="AR40" s="58">
        <v>0</v>
      </c>
      <c r="AS40" s="58">
        <v>0</v>
      </c>
      <c r="AT40" s="58">
        <v>0</v>
      </c>
      <c r="AU40" s="60">
        <v>0</v>
      </c>
      <c r="AV40" s="58">
        <v>0</v>
      </c>
      <c r="AW40" s="58">
        <v>0</v>
      </c>
      <c r="AX40" s="60">
        <v>0</v>
      </c>
      <c r="AY40" s="58">
        <v>0</v>
      </c>
      <c r="AZ40" s="58">
        <v>0</v>
      </c>
      <c r="BA40" s="60">
        <v>0</v>
      </c>
      <c r="BB40" s="58">
        <v>0</v>
      </c>
      <c r="BC40" s="58">
        <v>0</v>
      </c>
      <c r="BD40" s="58">
        <v>0</v>
      </c>
      <c r="BE40" s="58">
        <v>0</v>
      </c>
      <c r="BF40" s="58">
        <v>0</v>
      </c>
      <c r="BG40" s="60">
        <v>0</v>
      </c>
      <c r="BH40" s="58">
        <v>0</v>
      </c>
      <c r="BI40" s="58">
        <v>0</v>
      </c>
      <c r="BJ40" s="58">
        <v>0</v>
      </c>
      <c r="BK40" s="58">
        <v>0</v>
      </c>
      <c r="BL40" s="414">
        <v>21</v>
      </c>
      <c r="BM40" s="33"/>
    </row>
    <row r="41" spans="1:65" s="29" customFormat="1" ht="19.5" customHeight="1">
      <c r="A41" s="77">
        <v>21</v>
      </c>
      <c r="B41" s="56" t="s">
        <v>95</v>
      </c>
      <c r="C41" s="78">
        <f t="shared" si="18"/>
        <v>11</v>
      </c>
      <c r="D41" s="78">
        <f t="shared" si="19"/>
        <v>380872</v>
      </c>
      <c r="E41" s="58">
        <v>1</v>
      </c>
      <c r="F41" s="58">
        <v>34355</v>
      </c>
      <c r="G41" s="58">
        <v>1</v>
      </c>
      <c r="H41" s="58">
        <v>40096</v>
      </c>
      <c r="I41" s="58">
        <v>0</v>
      </c>
      <c r="J41" s="58">
        <v>0</v>
      </c>
      <c r="K41" s="58">
        <v>1</v>
      </c>
      <c r="L41" s="58">
        <v>76766</v>
      </c>
      <c r="M41" s="58">
        <v>0</v>
      </c>
      <c r="N41" s="58">
        <v>0</v>
      </c>
      <c r="O41" s="58">
        <v>0</v>
      </c>
      <c r="P41" s="58">
        <v>0</v>
      </c>
      <c r="Q41" s="58">
        <v>0</v>
      </c>
      <c r="R41" s="58">
        <v>0</v>
      </c>
      <c r="S41" s="79">
        <v>0</v>
      </c>
      <c r="T41" s="79">
        <v>0</v>
      </c>
      <c r="U41" s="79">
        <v>0</v>
      </c>
      <c r="V41" s="79">
        <v>0</v>
      </c>
      <c r="W41" s="79">
        <v>0</v>
      </c>
      <c r="X41" s="79">
        <v>0</v>
      </c>
      <c r="Y41" s="79">
        <v>0</v>
      </c>
      <c r="Z41" s="79">
        <v>0</v>
      </c>
      <c r="AA41" s="79">
        <v>0</v>
      </c>
      <c r="AB41" s="79">
        <v>0</v>
      </c>
      <c r="AC41" s="79">
        <v>0</v>
      </c>
      <c r="AD41" s="79">
        <v>0</v>
      </c>
      <c r="AE41" s="79">
        <v>6</v>
      </c>
      <c r="AF41" s="79">
        <v>200316</v>
      </c>
      <c r="AG41" s="79">
        <v>0</v>
      </c>
      <c r="AH41" s="79">
        <v>0</v>
      </c>
      <c r="AI41" s="414">
        <v>21</v>
      </c>
      <c r="AJ41" s="414">
        <v>21</v>
      </c>
      <c r="AK41" s="56" t="s">
        <v>95</v>
      </c>
      <c r="AL41" s="58">
        <v>0</v>
      </c>
      <c r="AM41" s="58">
        <v>0</v>
      </c>
      <c r="AN41" s="58">
        <v>0</v>
      </c>
      <c r="AO41" s="58">
        <v>0</v>
      </c>
      <c r="AP41" s="58">
        <v>0</v>
      </c>
      <c r="AQ41" s="58">
        <v>0</v>
      </c>
      <c r="AR41" s="58">
        <v>0</v>
      </c>
      <c r="AS41" s="58">
        <v>0</v>
      </c>
      <c r="AT41" s="58">
        <v>0</v>
      </c>
      <c r="AU41" s="60">
        <v>0</v>
      </c>
      <c r="AV41" s="58">
        <v>0</v>
      </c>
      <c r="AW41" s="58">
        <v>0</v>
      </c>
      <c r="AX41" s="60">
        <v>0</v>
      </c>
      <c r="AY41" s="58">
        <v>0</v>
      </c>
      <c r="AZ41" s="58">
        <v>1</v>
      </c>
      <c r="BA41" s="60"/>
      <c r="BB41" s="58">
        <v>3834</v>
      </c>
      <c r="BC41" s="58">
        <v>0</v>
      </c>
      <c r="BD41" s="58">
        <v>0</v>
      </c>
      <c r="BE41" s="58">
        <v>0</v>
      </c>
      <c r="BF41" s="58">
        <v>1</v>
      </c>
      <c r="BG41" s="60"/>
      <c r="BH41" s="58">
        <v>25505</v>
      </c>
      <c r="BI41" s="58">
        <v>0</v>
      </c>
      <c r="BJ41" s="58">
        <v>0</v>
      </c>
      <c r="BK41" s="58">
        <v>0</v>
      </c>
      <c r="BL41" s="414">
        <v>22</v>
      </c>
      <c r="BM41" s="33"/>
    </row>
    <row r="42" spans="1:65" s="29" customFormat="1" ht="19.5" customHeight="1">
      <c r="A42" s="77">
        <v>22</v>
      </c>
      <c r="B42" s="56" t="s">
        <v>96</v>
      </c>
      <c r="C42" s="78">
        <f t="shared" si="18"/>
        <v>0</v>
      </c>
      <c r="D42" s="78">
        <f t="shared" si="19"/>
        <v>0</v>
      </c>
      <c r="E42" s="58">
        <v>0</v>
      </c>
      <c r="F42" s="58">
        <v>0</v>
      </c>
      <c r="G42" s="58">
        <v>0</v>
      </c>
      <c r="H42" s="58">
        <v>0</v>
      </c>
      <c r="I42" s="58">
        <v>0</v>
      </c>
      <c r="J42" s="58">
        <v>0</v>
      </c>
      <c r="K42" s="58">
        <v>0</v>
      </c>
      <c r="L42" s="58">
        <v>0</v>
      </c>
      <c r="M42" s="58">
        <v>0</v>
      </c>
      <c r="N42" s="58">
        <v>0</v>
      </c>
      <c r="O42" s="58">
        <v>0</v>
      </c>
      <c r="P42" s="58">
        <v>0</v>
      </c>
      <c r="Q42" s="58">
        <v>0</v>
      </c>
      <c r="R42" s="58">
        <v>0</v>
      </c>
      <c r="S42" s="79">
        <v>0</v>
      </c>
      <c r="T42" s="79">
        <v>0</v>
      </c>
      <c r="U42" s="79">
        <v>0</v>
      </c>
      <c r="V42" s="79">
        <v>0</v>
      </c>
      <c r="W42" s="79">
        <v>0</v>
      </c>
      <c r="X42" s="79">
        <v>0</v>
      </c>
      <c r="Y42" s="79">
        <v>0</v>
      </c>
      <c r="Z42" s="79">
        <v>0</v>
      </c>
      <c r="AA42" s="79">
        <v>0</v>
      </c>
      <c r="AB42" s="79">
        <v>0</v>
      </c>
      <c r="AC42" s="79">
        <v>0</v>
      </c>
      <c r="AD42" s="79">
        <v>0</v>
      </c>
      <c r="AE42" s="79">
        <v>0</v>
      </c>
      <c r="AF42" s="79">
        <v>0</v>
      </c>
      <c r="AG42" s="79">
        <v>0</v>
      </c>
      <c r="AH42" s="79">
        <v>0</v>
      </c>
      <c r="AI42" s="414">
        <v>22</v>
      </c>
      <c r="AJ42" s="414">
        <v>22</v>
      </c>
      <c r="AK42" s="56" t="s">
        <v>96</v>
      </c>
      <c r="AL42" s="58">
        <v>0</v>
      </c>
      <c r="AM42" s="58">
        <v>0</v>
      </c>
      <c r="AN42" s="58">
        <v>0</v>
      </c>
      <c r="AO42" s="58">
        <v>0</v>
      </c>
      <c r="AP42" s="58">
        <v>0</v>
      </c>
      <c r="AQ42" s="58">
        <v>0</v>
      </c>
      <c r="AR42" s="58">
        <v>0</v>
      </c>
      <c r="AS42" s="58">
        <v>0</v>
      </c>
      <c r="AT42" s="58">
        <v>0</v>
      </c>
      <c r="AU42" s="60">
        <v>0</v>
      </c>
      <c r="AV42" s="58">
        <v>0</v>
      </c>
      <c r="AW42" s="58">
        <v>0</v>
      </c>
      <c r="AX42" s="60">
        <v>0</v>
      </c>
      <c r="AY42" s="58">
        <v>0</v>
      </c>
      <c r="AZ42" s="58">
        <v>0</v>
      </c>
      <c r="BA42" s="60">
        <v>0</v>
      </c>
      <c r="BB42" s="58">
        <v>0</v>
      </c>
      <c r="BC42" s="58">
        <v>0</v>
      </c>
      <c r="BD42" s="58">
        <v>0</v>
      </c>
      <c r="BE42" s="58">
        <v>0</v>
      </c>
      <c r="BF42" s="58">
        <v>0</v>
      </c>
      <c r="BG42" s="60">
        <v>0</v>
      </c>
      <c r="BH42" s="58">
        <v>0</v>
      </c>
      <c r="BI42" s="58">
        <v>0</v>
      </c>
      <c r="BJ42" s="58">
        <v>0</v>
      </c>
      <c r="BK42" s="58">
        <v>0</v>
      </c>
      <c r="BL42" s="414">
        <v>23</v>
      </c>
      <c r="BM42" s="33"/>
    </row>
    <row r="43" spans="1:65" s="29" customFormat="1" ht="19.5" customHeight="1">
      <c r="A43" s="77">
        <v>23</v>
      </c>
      <c r="B43" s="56" t="s">
        <v>97</v>
      </c>
      <c r="C43" s="78">
        <f t="shared" si="18"/>
        <v>0</v>
      </c>
      <c r="D43" s="78">
        <f t="shared" si="19"/>
        <v>0</v>
      </c>
      <c r="E43" s="58">
        <v>0</v>
      </c>
      <c r="F43" s="58">
        <v>0</v>
      </c>
      <c r="G43" s="58">
        <v>0</v>
      </c>
      <c r="H43" s="58">
        <v>0</v>
      </c>
      <c r="I43" s="58">
        <v>0</v>
      </c>
      <c r="J43" s="58">
        <v>0</v>
      </c>
      <c r="K43" s="58">
        <v>0</v>
      </c>
      <c r="L43" s="58">
        <v>0</v>
      </c>
      <c r="M43" s="58">
        <v>0</v>
      </c>
      <c r="N43" s="58">
        <v>0</v>
      </c>
      <c r="O43" s="58">
        <v>0</v>
      </c>
      <c r="P43" s="58">
        <v>0</v>
      </c>
      <c r="Q43" s="58">
        <v>0</v>
      </c>
      <c r="R43" s="58">
        <v>0</v>
      </c>
      <c r="S43" s="79">
        <v>0</v>
      </c>
      <c r="T43" s="79">
        <v>0</v>
      </c>
      <c r="U43" s="79">
        <v>0</v>
      </c>
      <c r="V43" s="79">
        <v>0</v>
      </c>
      <c r="W43" s="79">
        <v>0</v>
      </c>
      <c r="X43" s="79">
        <v>0</v>
      </c>
      <c r="Y43" s="79">
        <v>0</v>
      </c>
      <c r="Z43" s="79">
        <v>0</v>
      </c>
      <c r="AA43" s="79">
        <v>0</v>
      </c>
      <c r="AB43" s="79">
        <v>0</v>
      </c>
      <c r="AC43" s="79">
        <v>0</v>
      </c>
      <c r="AD43" s="79">
        <v>0</v>
      </c>
      <c r="AE43" s="79">
        <v>0</v>
      </c>
      <c r="AF43" s="79">
        <v>0</v>
      </c>
      <c r="AG43" s="79">
        <v>0</v>
      </c>
      <c r="AH43" s="79">
        <v>0</v>
      </c>
      <c r="AI43" s="414">
        <v>23</v>
      </c>
      <c r="AJ43" s="414">
        <v>23</v>
      </c>
      <c r="AK43" s="56" t="s">
        <v>97</v>
      </c>
      <c r="AL43" s="58">
        <v>0</v>
      </c>
      <c r="AM43" s="58">
        <v>0</v>
      </c>
      <c r="AN43" s="58">
        <v>0</v>
      </c>
      <c r="AO43" s="58">
        <v>0</v>
      </c>
      <c r="AP43" s="58">
        <v>0</v>
      </c>
      <c r="AQ43" s="58">
        <v>0</v>
      </c>
      <c r="AR43" s="58">
        <v>0</v>
      </c>
      <c r="AS43" s="58">
        <v>0</v>
      </c>
      <c r="AT43" s="58">
        <v>0</v>
      </c>
      <c r="AU43" s="60">
        <v>0</v>
      </c>
      <c r="AV43" s="58">
        <v>0</v>
      </c>
      <c r="AW43" s="58">
        <v>0</v>
      </c>
      <c r="AX43" s="60">
        <v>0</v>
      </c>
      <c r="AY43" s="58">
        <v>0</v>
      </c>
      <c r="AZ43" s="58">
        <v>0</v>
      </c>
      <c r="BA43" s="60">
        <v>0</v>
      </c>
      <c r="BB43" s="58">
        <v>0</v>
      </c>
      <c r="BC43" s="58">
        <v>0</v>
      </c>
      <c r="BD43" s="58">
        <v>0</v>
      </c>
      <c r="BE43" s="58">
        <v>0</v>
      </c>
      <c r="BF43" s="58">
        <v>0</v>
      </c>
      <c r="BG43" s="60">
        <v>0</v>
      </c>
      <c r="BH43" s="58">
        <v>0</v>
      </c>
      <c r="BI43" s="58">
        <v>0</v>
      </c>
      <c r="BJ43" s="58">
        <v>0</v>
      </c>
      <c r="BK43" s="58">
        <v>0</v>
      </c>
      <c r="BL43" s="414">
        <v>24</v>
      </c>
      <c r="BM43" s="33"/>
    </row>
    <row r="44" spans="1:65" s="29" customFormat="1" ht="19.5" customHeight="1">
      <c r="A44" s="77">
        <v>24</v>
      </c>
      <c r="B44" s="56" t="s">
        <v>98</v>
      </c>
      <c r="C44" s="78">
        <f t="shared" si="18"/>
        <v>0</v>
      </c>
      <c r="D44" s="78">
        <f t="shared" si="19"/>
        <v>0</v>
      </c>
      <c r="E44" s="58">
        <v>0</v>
      </c>
      <c r="F44" s="58">
        <v>0</v>
      </c>
      <c r="G44" s="58">
        <v>0</v>
      </c>
      <c r="H44" s="58">
        <v>0</v>
      </c>
      <c r="I44" s="58">
        <v>0</v>
      </c>
      <c r="J44" s="58">
        <v>0</v>
      </c>
      <c r="K44" s="58">
        <v>0</v>
      </c>
      <c r="L44" s="58">
        <v>0</v>
      </c>
      <c r="M44" s="58">
        <v>0</v>
      </c>
      <c r="N44" s="58">
        <v>0</v>
      </c>
      <c r="O44" s="58">
        <v>0</v>
      </c>
      <c r="P44" s="58">
        <v>0</v>
      </c>
      <c r="Q44" s="58">
        <v>0</v>
      </c>
      <c r="R44" s="58">
        <v>0</v>
      </c>
      <c r="S44" s="79">
        <v>0</v>
      </c>
      <c r="T44" s="79">
        <v>0</v>
      </c>
      <c r="U44" s="79">
        <v>0</v>
      </c>
      <c r="V44" s="79">
        <v>0</v>
      </c>
      <c r="W44" s="79">
        <v>0</v>
      </c>
      <c r="X44" s="79">
        <v>0</v>
      </c>
      <c r="Y44" s="79">
        <v>0</v>
      </c>
      <c r="Z44" s="79">
        <v>0</v>
      </c>
      <c r="AA44" s="79">
        <v>0</v>
      </c>
      <c r="AB44" s="79">
        <v>0</v>
      </c>
      <c r="AC44" s="79">
        <v>0</v>
      </c>
      <c r="AD44" s="79">
        <v>0</v>
      </c>
      <c r="AE44" s="79">
        <v>0</v>
      </c>
      <c r="AF44" s="79">
        <v>0</v>
      </c>
      <c r="AG44" s="79">
        <v>0</v>
      </c>
      <c r="AH44" s="79">
        <v>0</v>
      </c>
      <c r="AI44" s="414">
        <v>24</v>
      </c>
      <c r="AJ44" s="414">
        <v>24</v>
      </c>
      <c r="AK44" s="56" t="s">
        <v>98</v>
      </c>
      <c r="AL44" s="58">
        <v>0</v>
      </c>
      <c r="AM44" s="58">
        <v>0</v>
      </c>
      <c r="AN44" s="58">
        <v>0</v>
      </c>
      <c r="AO44" s="58">
        <v>0</v>
      </c>
      <c r="AP44" s="58">
        <v>0</v>
      </c>
      <c r="AQ44" s="58">
        <v>0</v>
      </c>
      <c r="AR44" s="58">
        <v>0</v>
      </c>
      <c r="AS44" s="58">
        <v>0</v>
      </c>
      <c r="AT44" s="58">
        <v>0</v>
      </c>
      <c r="AU44" s="60">
        <v>0</v>
      </c>
      <c r="AV44" s="58">
        <v>0</v>
      </c>
      <c r="AW44" s="58">
        <v>0</v>
      </c>
      <c r="AX44" s="60">
        <v>0</v>
      </c>
      <c r="AY44" s="58">
        <v>0</v>
      </c>
      <c r="AZ44" s="58">
        <v>0</v>
      </c>
      <c r="BA44" s="60">
        <v>0</v>
      </c>
      <c r="BB44" s="58">
        <v>0</v>
      </c>
      <c r="BC44" s="58">
        <v>0</v>
      </c>
      <c r="BD44" s="58">
        <v>0</v>
      </c>
      <c r="BE44" s="58">
        <v>0</v>
      </c>
      <c r="BF44" s="58">
        <v>0</v>
      </c>
      <c r="BG44" s="60">
        <v>0</v>
      </c>
      <c r="BH44" s="58">
        <v>0</v>
      </c>
      <c r="BI44" s="58">
        <v>0</v>
      </c>
      <c r="BJ44" s="58">
        <v>0</v>
      </c>
      <c r="BK44" s="58">
        <v>0</v>
      </c>
      <c r="BL44" s="414">
        <v>25</v>
      </c>
      <c r="BM44" s="33"/>
    </row>
    <row r="45" spans="1:65" s="29" customFormat="1" ht="19.5" customHeight="1">
      <c r="A45" s="77">
        <v>25</v>
      </c>
      <c r="B45" s="56" t="s">
        <v>99</v>
      </c>
      <c r="C45" s="78">
        <f t="shared" si="18"/>
        <v>0</v>
      </c>
      <c r="D45" s="78">
        <f t="shared" si="19"/>
        <v>0</v>
      </c>
      <c r="E45" s="58">
        <v>0</v>
      </c>
      <c r="F45" s="58">
        <v>0</v>
      </c>
      <c r="G45" s="58">
        <v>0</v>
      </c>
      <c r="H45" s="58">
        <v>0</v>
      </c>
      <c r="I45" s="58">
        <v>0</v>
      </c>
      <c r="J45" s="58">
        <v>0</v>
      </c>
      <c r="K45" s="58">
        <v>0</v>
      </c>
      <c r="L45" s="58">
        <v>0</v>
      </c>
      <c r="M45" s="58">
        <v>0</v>
      </c>
      <c r="N45" s="58">
        <v>0</v>
      </c>
      <c r="O45" s="58">
        <v>0</v>
      </c>
      <c r="P45" s="58">
        <v>0</v>
      </c>
      <c r="Q45" s="58">
        <v>0</v>
      </c>
      <c r="R45" s="58">
        <v>0</v>
      </c>
      <c r="S45" s="79">
        <v>0</v>
      </c>
      <c r="T45" s="79">
        <v>0</v>
      </c>
      <c r="U45" s="79">
        <v>0</v>
      </c>
      <c r="V45" s="79">
        <v>0</v>
      </c>
      <c r="W45" s="79">
        <v>0</v>
      </c>
      <c r="X45" s="79">
        <v>0</v>
      </c>
      <c r="Y45" s="79">
        <v>0</v>
      </c>
      <c r="Z45" s="79">
        <v>0</v>
      </c>
      <c r="AA45" s="79">
        <v>0</v>
      </c>
      <c r="AB45" s="79">
        <v>0</v>
      </c>
      <c r="AC45" s="79">
        <v>0</v>
      </c>
      <c r="AD45" s="79">
        <v>0</v>
      </c>
      <c r="AE45" s="79">
        <v>0</v>
      </c>
      <c r="AF45" s="79">
        <v>0</v>
      </c>
      <c r="AG45" s="79">
        <v>0</v>
      </c>
      <c r="AH45" s="79">
        <v>0</v>
      </c>
      <c r="AI45" s="414">
        <v>25</v>
      </c>
      <c r="AJ45" s="414">
        <v>25</v>
      </c>
      <c r="AK45" s="56" t="s">
        <v>99</v>
      </c>
      <c r="AL45" s="58">
        <v>0</v>
      </c>
      <c r="AM45" s="58">
        <v>0</v>
      </c>
      <c r="AN45" s="58">
        <v>0</v>
      </c>
      <c r="AO45" s="58">
        <v>0</v>
      </c>
      <c r="AP45" s="58">
        <v>0</v>
      </c>
      <c r="AQ45" s="58">
        <v>0</v>
      </c>
      <c r="AR45" s="58">
        <v>0</v>
      </c>
      <c r="AS45" s="58">
        <v>0</v>
      </c>
      <c r="AT45" s="58">
        <v>0</v>
      </c>
      <c r="AU45" s="60">
        <v>0</v>
      </c>
      <c r="AV45" s="58">
        <v>0</v>
      </c>
      <c r="AW45" s="58">
        <v>0</v>
      </c>
      <c r="AX45" s="60">
        <v>0</v>
      </c>
      <c r="AY45" s="58">
        <v>0</v>
      </c>
      <c r="AZ45" s="58">
        <v>0</v>
      </c>
      <c r="BA45" s="60">
        <v>0</v>
      </c>
      <c r="BB45" s="58">
        <v>0</v>
      </c>
      <c r="BC45" s="58">
        <v>0</v>
      </c>
      <c r="BD45" s="58">
        <v>0</v>
      </c>
      <c r="BE45" s="58">
        <v>0</v>
      </c>
      <c r="BF45" s="58">
        <v>0</v>
      </c>
      <c r="BG45" s="60">
        <v>0</v>
      </c>
      <c r="BH45" s="58">
        <v>0</v>
      </c>
      <c r="BI45" s="58">
        <v>0</v>
      </c>
      <c r="BJ45" s="58">
        <v>0</v>
      </c>
      <c r="BK45" s="58">
        <v>0</v>
      </c>
      <c r="BL45" s="414">
        <v>26</v>
      </c>
      <c r="BM45" s="33"/>
    </row>
    <row r="46" spans="1:65" s="29" customFormat="1" ht="19.5" customHeight="1">
      <c r="A46" s="77">
        <v>26</v>
      </c>
      <c r="B46" s="56" t="s">
        <v>100</v>
      </c>
      <c r="C46" s="78">
        <f t="shared" si="18"/>
        <v>0</v>
      </c>
      <c r="D46" s="78">
        <f t="shared" si="19"/>
        <v>0</v>
      </c>
      <c r="E46" s="58">
        <v>0</v>
      </c>
      <c r="F46" s="58">
        <v>0</v>
      </c>
      <c r="G46" s="58">
        <v>0</v>
      </c>
      <c r="H46" s="58">
        <v>0</v>
      </c>
      <c r="I46" s="58">
        <v>0</v>
      </c>
      <c r="J46" s="58">
        <v>0</v>
      </c>
      <c r="K46" s="58">
        <v>0</v>
      </c>
      <c r="L46" s="58">
        <v>0</v>
      </c>
      <c r="M46" s="58">
        <v>0</v>
      </c>
      <c r="N46" s="58">
        <v>0</v>
      </c>
      <c r="O46" s="58">
        <v>0</v>
      </c>
      <c r="P46" s="58">
        <v>0</v>
      </c>
      <c r="Q46" s="58">
        <v>0</v>
      </c>
      <c r="R46" s="58">
        <v>0</v>
      </c>
      <c r="S46" s="79">
        <v>0</v>
      </c>
      <c r="T46" s="79">
        <v>0</v>
      </c>
      <c r="U46" s="79">
        <v>0</v>
      </c>
      <c r="V46" s="79">
        <v>0</v>
      </c>
      <c r="W46" s="79">
        <v>0</v>
      </c>
      <c r="X46" s="79">
        <v>0</v>
      </c>
      <c r="Y46" s="79">
        <v>0</v>
      </c>
      <c r="Z46" s="79">
        <v>0</v>
      </c>
      <c r="AA46" s="79">
        <v>0</v>
      </c>
      <c r="AB46" s="79">
        <v>0</v>
      </c>
      <c r="AC46" s="79">
        <v>0</v>
      </c>
      <c r="AD46" s="79">
        <v>0</v>
      </c>
      <c r="AE46" s="79">
        <v>0</v>
      </c>
      <c r="AF46" s="79">
        <v>0</v>
      </c>
      <c r="AG46" s="79">
        <v>0</v>
      </c>
      <c r="AH46" s="79">
        <v>0</v>
      </c>
      <c r="AI46" s="414">
        <v>26</v>
      </c>
      <c r="AJ46" s="414">
        <v>26</v>
      </c>
      <c r="AK46" s="56" t="s">
        <v>100</v>
      </c>
      <c r="AL46" s="58">
        <v>0</v>
      </c>
      <c r="AM46" s="58">
        <v>0</v>
      </c>
      <c r="AN46" s="58">
        <v>0</v>
      </c>
      <c r="AO46" s="58">
        <v>0</v>
      </c>
      <c r="AP46" s="58">
        <v>0</v>
      </c>
      <c r="AQ46" s="58">
        <v>0</v>
      </c>
      <c r="AR46" s="58">
        <v>0</v>
      </c>
      <c r="AS46" s="58">
        <v>0</v>
      </c>
      <c r="AT46" s="58">
        <v>0</v>
      </c>
      <c r="AU46" s="60">
        <v>0</v>
      </c>
      <c r="AV46" s="58">
        <v>0</v>
      </c>
      <c r="AW46" s="58">
        <v>0</v>
      </c>
      <c r="AX46" s="60">
        <v>0</v>
      </c>
      <c r="AY46" s="58">
        <v>0</v>
      </c>
      <c r="AZ46" s="58">
        <v>0</v>
      </c>
      <c r="BA46" s="60">
        <v>0</v>
      </c>
      <c r="BB46" s="58">
        <v>0</v>
      </c>
      <c r="BC46" s="58">
        <v>0</v>
      </c>
      <c r="BD46" s="58">
        <v>0</v>
      </c>
      <c r="BE46" s="58">
        <v>0</v>
      </c>
      <c r="BF46" s="58">
        <v>0</v>
      </c>
      <c r="BG46" s="60">
        <v>0</v>
      </c>
      <c r="BH46" s="58">
        <v>0</v>
      </c>
      <c r="BI46" s="58">
        <v>0</v>
      </c>
      <c r="BJ46" s="58">
        <v>0</v>
      </c>
      <c r="BK46" s="58">
        <v>0</v>
      </c>
      <c r="BL46" s="414">
        <v>27</v>
      </c>
      <c r="BM46" s="33"/>
    </row>
    <row r="47" spans="1:65" s="29" customFormat="1" ht="19.5" customHeight="1">
      <c r="A47" s="77">
        <v>27</v>
      </c>
      <c r="B47" s="56" t="s">
        <v>101</v>
      </c>
      <c r="C47" s="78">
        <f t="shared" si="18"/>
        <v>0</v>
      </c>
      <c r="D47" s="78">
        <f t="shared" si="19"/>
        <v>0</v>
      </c>
      <c r="E47" s="58">
        <v>0</v>
      </c>
      <c r="F47" s="58">
        <v>0</v>
      </c>
      <c r="G47" s="58">
        <v>0</v>
      </c>
      <c r="H47" s="58">
        <v>0</v>
      </c>
      <c r="I47" s="58">
        <v>0</v>
      </c>
      <c r="J47" s="58">
        <v>0</v>
      </c>
      <c r="K47" s="58">
        <v>0</v>
      </c>
      <c r="L47" s="58">
        <v>0</v>
      </c>
      <c r="M47" s="58">
        <v>0</v>
      </c>
      <c r="N47" s="58">
        <v>0</v>
      </c>
      <c r="O47" s="58">
        <v>0</v>
      </c>
      <c r="P47" s="58">
        <v>0</v>
      </c>
      <c r="Q47" s="58">
        <v>0</v>
      </c>
      <c r="R47" s="58">
        <v>0</v>
      </c>
      <c r="S47" s="79">
        <v>0</v>
      </c>
      <c r="T47" s="79">
        <v>0</v>
      </c>
      <c r="U47" s="79">
        <v>0</v>
      </c>
      <c r="V47" s="79">
        <v>0</v>
      </c>
      <c r="W47" s="79">
        <v>0</v>
      </c>
      <c r="X47" s="79">
        <v>0</v>
      </c>
      <c r="Y47" s="79">
        <v>0</v>
      </c>
      <c r="Z47" s="79">
        <v>0</v>
      </c>
      <c r="AA47" s="79">
        <v>0</v>
      </c>
      <c r="AB47" s="79">
        <v>0</v>
      </c>
      <c r="AC47" s="79">
        <v>0</v>
      </c>
      <c r="AD47" s="79">
        <v>0</v>
      </c>
      <c r="AE47" s="79">
        <v>0</v>
      </c>
      <c r="AF47" s="79">
        <v>0</v>
      </c>
      <c r="AG47" s="79">
        <v>0</v>
      </c>
      <c r="AH47" s="79">
        <v>0</v>
      </c>
      <c r="AI47" s="414">
        <v>27</v>
      </c>
      <c r="AJ47" s="414">
        <v>27</v>
      </c>
      <c r="AK47" s="56" t="s">
        <v>101</v>
      </c>
      <c r="AL47" s="58">
        <v>0</v>
      </c>
      <c r="AM47" s="58">
        <v>0</v>
      </c>
      <c r="AN47" s="58">
        <v>0</v>
      </c>
      <c r="AO47" s="58">
        <v>0</v>
      </c>
      <c r="AP47" s="58">
        <v>0</v>
      </c>
      <c r="AQ47" s="58">
        <v>0</v>
      </c>
      <c r="AR47" s="58">
        <v>0</v>
      </c>
      <c r="AS47" s="58">
        <v>0</v>
      </c>
      <c r="AT47" s="58">
        <v>0</v>
      </c>
      <c r="AU47" s="60">
        <v>0</v>
      </c>
      <c r="AV47" s="58">
        <v>0</v>
      </c>
      <c r="AW47" s="58">
        <v>0</v>
      </c>
      <c r="AX47" s="60">
        <v>0</v>
      </c>
      <c r="AY47" s="58">
        <v>0</v>
      </c>
      <c r="AZ47" s="58">
        <v>0</v>
      </c>
      <c r="BA47" s="60">
        <v>0</v>
      </c>
      <c r="BB47" s="58">
        <v>0</v>
      </c>
      <c r="BC47" s="58">
        <v>0</v>
      </c>
      <c r="BD47" s="58">
        <v>0</v>
      </c>
      <c r="BE47" s="58">
        <v>0</v>
      </c>
      <c r="BF47" s="58">
        <v>0</v>
      </c>
      <c r="BG47" s="60">
        <v>0</v>
      </c>
      <c r="BH47" s="58">
        <v>0</v>
      </c>
      <c r="BI47" s="58">
        <v>0</v>
      </c>
      <c r="BJ47" s="58">
        <v>0</v>
      </c>
      <c r="BK47" s="58">
        <v>0</v>
      </c>
      <c r="BL47" s="414">
        <v>28</v>
      </c>
      <c r="BM47" s="33"/>
    </row>
    <row r="48" spans="1:65" s="29" customFormat="1" ht="19.5" customHeight="1">
      <c r="A48" s="77"/>
      <c r="B48" s="80"/>
      <c r="C48" s="78"/>
      <c r="D48" s="78"/>
      <c r="E48" s="58"/>
      <c r="F48" s="58"/>
      <c r="G48" s="58"/>
      <c r="H48" s="58"/>
      <c r="I48" s="58"/>
      <c r="J48" s="58"/>
      <c r="K48" s="58"/>
      <c r="L48" s="58"/>
      <c r="M48" s="58"/>
      <c r="N48" s="58"/>
      <c r="O48" s="58"/>
      <c r="P48" s="58"/>
      <c r="Q48" s="58"/>
      <c r="R48" s="58"/>
      <c r="S48" s="58"/>
      <c r="T48" s="58"/>
      <c r="U48" s="58"/>
      <c r="V48" s="58"/>
      <c r="W48" s="58"/>
      <c r="X48" s="58"/>
      <c r="Y48" s="58"/>
      <c r="Z48" s="58"/>
      <c r="AA48" s="58"/>
      <c r="AB48" s="58"/>
      <c r="AC48" s="58"/>
      <c r="AD48" s="58"/>
      <c r="AE48" s="58"/>
      <c r="AF48" s="58"/>
      <c r="AG48" s="58"/>
      <c r="AH48" s="58"/>
      <c r="AI48" s="414"/>
      <c r="AJ48" s="77"/>
      <c r="AK48" s="80"/>
      <c r="AL48" s="58"/>
      <c r="AM48" s="58"/>
      <c r="AN48" s="58"/>
      <c r="AO48" s="58"/>
      <c r="AP48" s="58"/>
      <c r="AQ48" s="58"/>
      <c r="AR48" s="58"/>
      <c r="AS48" s="58"/>
      <c r="AT48" s="58"/>
      <c r="AU48" s="60"/>
      <c r="AV48" s="58"/>
      <c r="AW48" s="58"/>
      <c r="AX48" s="60"/>
      <c r="AY48" s="58"/>
      <c r="AZ48" s="58"/>
      <c r="BA48" s="60"/>
      <c r="BB48" s="58"/>
      <c r="BC48" s="58"/>
      <c r="BD48" s="60"/>
      <c r="BE48" s="58"/>
      <c r="BF48" s="58"/>
      <c r="BG48" s="60"/>
      <c r="BH48" s="58"/>
      <c r="BI48" s="58"/>
      <c r="BJ48" s="60"/>
      <c r="BK48" s="58"/>
      <c r="BL48" s="414"/>
      <c r="BM48" s="33"/>
    </row>
    <row r="49" spans="1:65" s="84" customFormat="1" ht="19.5" customHeight="1">
      <c r="A49" s="81" t="s">
        <v>102</v>
      </c>
      <c r="B49" s="82"/>
      <c r="C49" s="63">
        <f aca="true" t="shared" si="20" ref="C49:AH49">C50+C54+C59</f>
        <v>70</v>
      </c>
      <c r="D49" s="63">
        <f t="shared" si="20"/>
        <v>2678622</v>
      </c>
      <c r="E49" s="71">
        <f t="shared" si="20"/>
        <v>18</v>
      </c>
      <c r="F49" s="71">
        <f t="shared" si="20"/>
        <v>687582</v>
      </c>
      <c r="G49" s="61">
        <f t="shared" si="20"/>
        <v>8</v>
      </c>
      <c r="H49" s="61">
        <f t="shared" si="20"/>
        <v>265283</v>
      </c>
      <c r="I49" s="61">
        <f t="shared" si="20"/>
        <v>0</v>
      </c>
      <c r="J49" s="61">
        <f t="shared" si="20"/>
        <v>0</v>
      </c>
      <c r="K49" s="61">
        <f t="shared" si="20"/>
        <v>0</v>
      </c>
      <c r="L49" s="61">
        <f t="shared" si="20"/>
        <v>0</v>
      </c>
      <c r="M49" s="61">
        <f t="shared" si="20"/>
        <v>0</v>
      </c>
      <c r="N49" s="61">
        <f t="shared" si="20"/>
        <v>0</v>
      </c>
      <c r="O49" s="61">
        <f t="shared" si="20"/>
        <v>4</v>
      </c>
      <c r="P49" s="61">
        <f t="shared" si="20"/>
        <v>329846</v>
      </c>
      <c r="Q49" s="61">
        <f t="shared" si="20"/>
        <v>0</v>
      </c>
      <c r="R49" s="61">
        <f t="shared" si="20"/>
        <v>0</v>
      </c>
      <c r="S49" s="61">
        <f t="shared" si="20"/>
        <v>0</v>
      </c>
      <c r="T49" s="61">
        <f t="shared" si="20"/>
        <v>0</v>
      </c>
      <c r="U49" s="61">
        <f t="shared" si="20"/>
        <v>0</v>
      </c>
      <c r="V49" s="61">
        <f t="shared" si="20"/>
        <v>0</v>
      </c>
      <c r="W49" s="61">
        <f t="shared" si="20"/>
        <v>2</v>
      </c>
      <c r="X49" s="61">
        <f t="shared" si="20"/>
        <v>72332</v>
      </c>
      <c r="Y49" s="61">
        <f t="shared" si="20"/>
        <v>0</v>
      </c>
      <c r="Z49" s="61">
        <f t="shared" si="20"/>
        <v>0</v>
      </c>
      <c r="AA49" s="61">
        <f t="shared" si="20"/>
        <v>2</v>
      </c>
      <c r="AB49" s="61">
        <f t="shared" si="20"/>
        <v>174692</v>
      </c>
      <c r="AC49" s="61">
        <f t="shared" si="20"/>
        <v>0</v>
      </c>
      <c r="AD49" s="61">
        <f t="shared" si="20"/>
        <v>0</v>
      </c>
      <c r="AE49" s="61">
        <f t="shared" si="20"/>
        <v>5</v>
      </c>
      <c r="AF49" s="61">
        <f t="shared" si="20"/>
        <v>266327</v>
      </c>
      <c r="AG49" s="61">
        <f t="shared" si="20"/>
        <v>0</v>
      </c>
      <c r="AH49" s="61">
        <f t="shared" si="20"/>
        <v>0</v>
      </c>
      <c r="AI49" s="413"/>
      <c r="AJ49" s="81" t="s">
        <v>102</v>
      </c>
      <c r="AK49" s="82"/>
      <c r="AL49" s="61">
        <f aca="true" t="shared" si="21" ref="AL49:BK49">AL50+AL54+AL59</f>
        <v>0</v>
      </c>
      <c r="AM49" s="61">
        <f t="shared" si="21"/>
        <v>0</v>
      </c>
      <c r="AN49" s="61">
        <f t="shared" si="21"/>
        <v>2</v>
      </c>
      <c r="AO49" s="61">
        <f t="shared" si="21"/>
        <v>96070</v>
      </c>
      <c r="AP49" s="61">
        <f t="shared" si="21"/>
        <v>9</v>
      </c>
      <c r="AQ49" s="61">
        <f t="shared" si="21"/>
        <v>401949</v>
      </c>
      <c r="AR49" s="61">
        <f t="shared" si="21"/>
        <v>1</v>
      </c>
      <c r="AS49" s="61">
        <f t="shared" si="21"/>
        <v>200002</v>
      </c>
      <c r="AT49" s="61">
        <f t="shared" si="21"/>
        <v>0</v>
      </c>
      <c r="AU49" s="62">
        <f t="shared" si="21"/>
        <v>0</v>
      </c>
      <c r="AV49" s="61">
        <f t="shared" si="21"/>
        <v>0</v>
      </c>
      <c r="AW49" s="61">
        <f t="shared" si="21"/>
        <v>0</v>
      </c>
      <c r="AX49" s="62">
        <f t="shared" si="21"/>
        <v>0</v>
      </c>
      <c r="AY49" s="76">
        <f t="shared" si="21"/>
        <v>0</v>
      </c>
      <c r="AZ49" s="61">
        <f t="shared" si="21"/>
        <v>9</v>
      </c>
      <c r="BA49" s="62">
        <f t="shared" si="21"/>
        <v>0</v>
      </c>
      <c r="BB49" s="61">
        <f t="shared" si="21"/>
        <v>39676</v>
      </c>
      <c r="BC49" s="61">
        <f t="shared" si="21"/>
        <v>0</v>
      </c>
      <c r="BD49" s="62">
        <f t="shared" si="21"/>
        <v>0</v>
      </c>
      <c r="BE49" s="61">
        <f t="shared" si="21"/>
        <v>0</v>
      </c>
      <c r="BF49" s="61">
        <f t="shared" si="21"/>
        <v>10</v>
      </c>
      <c r="BG49" s="62">
        <f t="shared" si="21"/>
        <v>0</v>
      </c>
      <c r="BH49" s="61">
        <f t="shared" si="21"/>
        <v>144863</v>
      </c>
      <c r="BI49" s="61">
        <f t="shared" si="21"/>
        <v>0</v>
      </c>
      <c r="BJ49" s="65">
        <f t="shared" si="21"/>
        <v>0</v>
      </c>
      <c r="BK49" s="61">
        <f t="shared" si="21"/>
        <v>0</v>
      </c>
      <c r="BL49" s="413"/>
      <c r="BM49" s="83"/>
    </row>
    <row r="50" spans="1:65" s="84" customFormat="1" ht="19.5" customHeight="1">
      <c r="A50" s="537" t="s">
        <v>267</v>
      </c>
      <c r="B50" s="507"/>
      <c r="C50" s="63">
        <f aca="true" t="shared" si="22" ref="C50:AH50">SUM(C51:C52)</f>
        <v>24</v>
      </c>
      <c r="D50" s="63">
        <f t="shared" si="22"/>
        <v>823849</v>
      </c>
      <c r="E50" s="71">
        <f t="shared" si="22"/>
        <v>10</v>
      </c>
      <c r="F50" s="71">
        <f t="shared" si="22"/>
        <v>388004</v>
      </c>
      <c r="G50" s="61">
        <f t="shared" si="22"/>
        <v>2</v>
      </c>
      <c r="H50" s="61">
        <f t="shared" si="22"/>
        <v>67392</v>
      </c>
      <c r="I50" s="61">
        <f t="shared" si="22"/>
        <v>0</v>
      </c>
      <c r="J50" s="61">
        <f t="shared" si="22"/>
        <v>0</v>
      </c>
      <c r="K50" s="61">
        <f>SUM(K51:K52)</f>
        <v>0</v>
      </c>
      <c r="L50" s="61">
        <f>SUM(L51:L52)</f>
        <v>0</v>
      </c>
      <c r="M50" s="61">
        <f t="shared" si="22"/>
        <v>0</v>
      </c>
      <c r="N50" s="61">
        <f t="shared" si="22"/>
        <v>0</v>
      </c>
      <c r="O50" s="61">
        <f t="shared" si="22"/>
        <v>2</v>
      </c>
      <c r="P50" s="61">
        <f t="shared" si="22"/>
        <v>132938</v>
      </c>
      <c r="Q50" s="61">
        <f t="shared" si="22"/>
        <v>0</v>
      </c>
      <c r="R50" s="61">
        <f t="shared" si="22"/>
        <v>0</v>
      </c>
      <c r="S50" s="61">
        <f t="shared" si="22"/>
        <v>0</v>
      </c>
      <c r="T50" s="61">
        <f t="shared" si="22"/>
        <v>0</v>
      </c>
      <c r="U50" s="61">
        <f t="shared" si="22"/>
        <v>0</v>
      </c>
      <c r="V50" s="61">
        <f t="shared" si="22"/>
        <v>0</v>
      </c>
      <c r="W50" s="61">
        <f t="shared" si="22"/>
        <v>0</v>
      </c>
      <c r="X50" s="61">
        <f t="shared" si="22"/>
        <v>0</v>
      </c>
      <c r="Y50" s="61">
        <f t="shared" si="22"/>
        <v>0</v>
      </c>
      <c r="Z50" s="61">
        <f t="shared" si="22"/>
        <v>0</v>
      </c>
      <c r="AA50" s="61">
        <f t="shared" si="22"/>
        <v>1</v>
      </c>
      <c r="AB50" s="61">
        <f t="shared" si="22"/>
        <v>75716</v>
      </c>
      <c r="AC50" s="61">
        <f t="shared" si="22"/>
        <v>0</v>
      </c>
      <c r="AD50" s="61">
        <f t="shared" si="22"/>
        <v>0</v>
      </c>
      <c r="AE50" s="61">
        <f t="shared" si="22"/>
        <v>2</v>
      </c>
      <c r="AF50" s="61">
        <f t="shared" si="22"/>
        <v>73456</v>
      </c>
      <c r="AG50" s="61">
        <f t="shared" si="22"/>
        <v>0</v>
      </c>
      <c r="AH50" s="61">
        <f t="shared" si="22"/>
        <v>0</v>
      </c>
      <c r="AI50" s="413"/>
      <c r="AJ50" s="537" t="str">
        <f>A50</f>
        <v>　西部環境森林事務所</v>
      </c>
      <c r="AK50" s="507"/>
      <c r="AL50" s="61">
        <f aca="true" t="shared" si="23" ref="AL50:BK50">SUM(AL51:AL52)</f>
        <v>0</v>
      </c>
      <c r="AM50" s="61">
        <f t="shared" si="23"/>
        <v>0</v>
      </c>
      <c r="AN50" s="61">
        <f t="shared" si="23"/>
        <v>0</v>
      </c>
      <c r="AO50" s="61">
        <f t="shared" si="23"/>
        <v>0</v>
      </c>
      <c r="AP50" s="61">
        <f t="shared" si="23"/>
        <v>0</v>
      </c>
      <c r="AQ50" s="61">
        <f t="shared" si="23"/>
        <v>0</v>
      </c>
      <c r="AR50" s="61">
        <f t="shared" si="23"/>
        <v>0</v>
      </c>
      <c r="AS50" s="61">
        <f t="shared" si="23"/>
        <v>0</v>
      </c>
      <c r="AT50" s="61">
        <f t="shared" si="23"/>
        <v>0</v>
      </c>
      <c r="AU50" s="62">
        <f t="shared" si="23"/>
        <v>0</v>
      </c>
      <c r="AV50" s="61">
        <f t="shared" si="23"/>
        <v>0</v>
      </c>
      <c r="AW50" s="61">
        <f t="shared" si="23"/>
        <v>0</v>
      </c>
      <c r="AX50" s="62">
        <f t="shared" si="23"/>
        <v>0</v>
      </c>
      <c r="AY50" s="76">
        <f t="shared" si="23"/>
        <v>0</v>
      </c>
      <c r="AZ50" s="61">
        <f t="shared" si="23"/>
        <v>4</v>
      </c>
      <c r="BA50" s="62">
        <f t="shared" si="23"/>
        <v>0</v>
      </c>
      <c r="BB50" s="61">
        <f t="shared" si="23"/>
        <v>21675</v>
      </c>
      <c r="BC50" s="61">
        <f t="shared" si="23"/>
        <v>0</v>
      </c>
      <c r="BD50" s="62">
        <f t="shared" si="23"/>
        <v>0</v>
      </c>
      <c r="BE50" s="61">
        <f t="shared" si="23"/>
        <v>0</v>
      </c>
      <c r="BF50" s="61">
        <f t="shared" si="23"/>
        <v>3</v>
      </c>
      <c r="BG50" s="62">
        <f t="shared" si="23"/>
        <v>0</v>
      </c>
      <c r="BH50" s="61">
        <f t="shared" si="23"/>
        <v>64668</v>
      </c>
      <c r="BI50" s="61">
        <f t="shared" si="23"/>
        <v>0</v>
      </c>
      <c r="BJ50" s="65">
        <f t="shared" si="23"/>
        <v>0</v>
      </c>
      <c r="BK50" s="61">
        <f t="shared" si="23"/>
        <v>0</v>
      </c>
      <c r="BL50" s="413"/>
      <c r="BM50" s="83"/>
    </row>
    <row r="51" spans="1:65" s="29" customFormat="1" ht="19.5" customHeight="1">
      <c r="A51" s="77">
        <v>28</v>
      </c>
      <c r="B51" s="56" t="s">
        <v>103</v>
      </c>
      <c r="C51" s="78">
        <f>E51+G51+I51+K51+M51+O51+Q51+S51+U51+W51+Y51+AA51+AC51+AE51+AG51+AL51+AP51+AR51+AN51+AT51+AW51+AZ51+BC51+BF51+BI51</f>
        <v>12</v>
      </c>
      <c r="D51" s="78">
        <f>F51+H51+J51+L51+N51+P51+R51+T51+V51+X51+Z51+AB51+AD51+AF51+AH51+AM51+AQ51+AS51+AO51+AV51+AY51+BB51+BE51+BH51+BK51</f>
        <v>415482</v>
      </c>
      <c r="E51" s="58">
        <v>3</v>
      </c>
      <c r="F51" s="58">
        <v>140645</v>
      </c>
      <c r="G51" s="58">
        <v>0</v>
      </c>
      <c r="H51" s="58">
        <v>0</v>
      </c>
      <c r="I51" s="58">
        <v>0</v>
      </c>
      <c r="J51" s="58">
        <v>0</v>
      </c>
      <c r="K51" s="58">
        <v>0</v>
      </c>
      <c r="L51" s="58">
        <v>0</v>
      </c>
      <c r="M51" s="58">
        <v>0</v>
      </c>
      <c r="N51" s="58">
        <v>0</v>
      </c>
      <c r="O51" s="58">
        <v>2</v>
      </c>
      <c r="P51" s="58">
        <v>132938</v>
      </c>
      <c r="Q51" s="58">
        <v>0</v>
      </c>
      <c r="R51" s="58">
        <v>0</v>
      </c>
      <c r="S51" s="79">
        <v>0</v>
      </c>
      <c r="T51" s="79">
        <v>0</v>
      </c>
      <c r="U51" s="79">
        <v>0</v>
      </c>
      <c r="V51" s="79">
        <v>0</v>
      </c>
      <c r="W51" s="79">
        <v>0</v>
      </c>
      <c r="X51" s="79">
        <v>0</v>
      </c>
      <c r="Y51" s="79">
        <v>0</v>
      </c>
      <c r="Z51" s="79">
        <v>0</v>
      </c>
      <c r="AA51" s="79">
        <v>1</v>
      </c>
      <c r="AB51" s="79">
        <v>75716</v>
      </c>
      <c r="AC51" s="79">
        <v>0</v>
      </c>
      <c r="AD51" s="79">
        <v>0</v>
      </c>
      <c r="AE51" s="79">
        <v>1</v>
      </c>
      <c r="AF51" s="79">
        <v>24430</v>
      </c>
      <c r="AG51" s="79">
        <v>0</v>
      </c>
      <c r="AH51" s="79">
        <v>0</v>
      </c>
      <c r="AI51" s="414">
        <v>28</v>
      </c>
      <c r="AJ51" s="414">
        <v>28</v>
      </c>
      <c r="AK51" s="56" t="s">
        <v>103</v>
      </c>
      <c r="AL51" s="58">
        <v>0</v>
      </c>
      <c r="AM51" s="58">
        <v>0</v>
      </c>
      <c r="AN51" s="58">
        <v>0</v>
      </c>
      <c r="AO51" s="58">
        <v>0</v>
      </c>
      <c r="AP51" s="58">
        <v>0</v>
      </c>
      <c r="AQ51" s="58">
        <v>0</v>
      </c>
      <c r="AR51" s="58">
        <v>0</v>
      </c>
      <c r="AS51" s="58">
        <v>0</v>
      </c>
      <c r="AT51" s="58">
        <v>0</v>
      </c>
      <c r="AU51" s="60">
        <v>0</v>
      </c>
      <c r="AV51" s="58">
        <v>0</v>
      </c>
      <c r="AW51" s="58">
        <v>0</v>
      </c>
      <c r="AX51" s="60">
        <v>0</v>
      </c>
      <c r="AY51" s="58">
        <v>0</v>
      </c>
      <c r="AZ51" s="58">
        <v>3</v>
      </c>
      <c r="BA51" s="60"/>
      <c r="BB51" s="58">
        <v>15747</v>
      </c>
      <c r="BC51" s="58">
        <v>0</v>
      </c>
      <c r="BD51" s="58">
        <v>0</v>
      </c>
      <c r="BE51" s="58">
        <v>0</v>
      </c>
      <c r="BF51" s="58">
        <v>2</v>
      </c>
      <c r="BG51" s="60"/>
      <c r="BH51" s="58">
        <v>26006</v>
      </c>
      <c r="BI51" s="58">
        <v>0</v>
      </c>
      <c r="BJ51" s="58">
        <v>0</v>
      </c>
      <c r="BK51" s="58">
        <v>0</v>
      </c>
      <c r="BL51" s="414">
        <v>29</v>
      </c>
      <c r="BM51" s="33"/>
    </row>
    <row r="52" spans="1:65" s="29" customFormat="1" ht="19.5" customHeight="1">
      <c r="A52" s="77">
        <v>29</v>
      </c>
      <c r="B52" s="56" t="s">
        <v>104</v>
      </c>
      <c r="C52" s="78">
        <f>E52+G52+I52+K52+M52+O52+Q52+S52+U52+W52+Y52+AA52+AC52+AE52+AG52+AL52+AP52+AR52+AN52+AT52+AW52+AZ52+BC52+BF52+BI52</f>
        <v>12</v>
      </c>
      <c r="D52" s="78">
        <f>F52+H52+J52+L52+N52+P52+R52+T52+V52+X52+Z52+AB52+AD52+AF52+AH52+AM52+AQ52+AS52+AO52+AV52+AY52+BB52+BE52+BH52+BK52</f>
        <v>408367</v>
      </c>
      <c r="E52" s="58">
        <v>7</v>
      </c>
      <c r="F52" s="58">
        <v>247359</v>
      </c>
      <c r="G52" s="58">
        <v>2</v>
      </c>
      <c r="H52" s="58">
        <v>67392</v>
      </c>
      <c r="I52" s="58">
        <v>0</v>
      </c>
      <c r="J52" s="58">
        <v>0</v>
      </c>
      <c r="K52" s="58">
        <v>0</v>
      </c>
      <c r="L52" s="58">
        <v>0</v>
      </c>
      <c r="M52" s="58">
        <v>0</v>
      </c>
      <c r="N52" s="58">
        <v>0</v>
      </c>
      <c r="O52" s="58">
        <v>0</v>
      </c>
      <c r="P52" s="58">
        <v>0</v>
      </c>
      <c r="Q52" s="58">
        <v>0</v>
      </c>
      <c r="R52" s="58">
        <v>0</v>
      </c>
      <c r="S52" s="79">
        <v>0</v>
      </c>
      <c r="T52" s="79">
        <v>0</v>
      </c>
      <c r="U52" s="79">
        <v>0</v>
      </c>
      <c r="V52" s="79">
        <v>0</v>
      </c>
      <c r="W52" s="79">
        <v>0</v>
      </c>
      <c r="X52" s="79">
        <v>0</v>
      </c>
      <c r="Y52" s="79">
        <v>0</v>
      </c>
      <c r="Z52" s="79">
        <v>0</v>
      </c>
      <c r="AA52" s="79">
        <v>0</v>
      </c>
      <c r="AB52" s="79">
        <v>0</v>
      </c>
      <c r="AC52" s="79">
        <v>0</v>
      </c>
      <c r="AD52" s="79">
        <v>0</v>
      </c>
      <c r="AE52" s="79">
        <v>1</v>
      </c>
      <c r="AF52" s="79">
        <v>49026</v>
      </c>
      <c r="AG52" s="79">
        <v>0</v>
      </c>
      <c r="AH52" s="79">
        <v>0</v>
      </c>
      <c r="AI52" s="414">
        <v>29</v>
      </c>
      <c r="AJ52" s="414">
        <v>29</v>
      </c>
      <c r="AK52" s="56" t="s">
        <v>104</v>
      </c>
      <c r="AL52" s="58">
        <v>0</v>
      </c>
      <c r="AM52" s="58">
        <v>0</v>
      </c>
      <c r="AN52" s="58">
        <v>0</v>
      </c>
      <c r="AO52" s="58">
        <v>0</v>
      </c>
      <c r="AP52" s="58">
        <v>0</v>
      </c>
      <c r="AQ52" s="58">
        <v>0</v>
      </c>
      <c r="AR52" s="58">
        <v>0</v>
      </c>
      <c r="AS52" s="58">
        <v>0</v>
      </c>
      <c r="AT52" s="58">
        <v>0</v>
      </c>
      <c r="AU52" s="60">
        <v>0</v>
      </c>
      <c r="AV52" s="58">
        <v>0</v>
      </c>
      <c r="AW52" s="58">
        <v>0</v>
      </c>
      <c r="AX52" s="60">
        <v>0</v>
      </c>
      <c r="AY52" s="58">
        <v>0</v>
      </c>
      <c r="AZ52" s="58">
        <v>1</v>
      </c>
      <c r="BA52" s="60"/>
      <c r="BB52" s="58">
        <v>5928</v>
      </c>
      <c r="BC52" s="58">
        <v>0</v>
      </c>
      <c r="BD52" s="58">
        <v>0</v>
      </c>
      <c r="BE52" s="58">
        <v>0</v>
      </c>
      <c r="BF52" s="58">
        <v>1</v>
      </c>
      <c r="BG52" s="60"/>
      <c r="BH52" s="58">
        <v>38662</v>
      </c>
      <c r="BI52" s="58">
        <v>0</v>
      </c>
      <c r="BJ52" s="58">
        <v>0</v>
      </c>
      <c r="BK52" s="58">
        <v>0</v>
      </c>
      <c r="BL52" s="414">
        <v>30</v>
      </c>
      <c r="BM52" s="33"/>
    </row>
    <row r="53" spans="1:65" s="29" customFormat="1" ht="19.5" customHeight="1">
      <c r="A53" s="77"/>
      <c r="B53" s="80"/>
      <c r="C53" s="78"/>
      <c r="D53" s="78"/>
      <c r="E53" s="58"/>
      <c r="F53" s="58"/>
      <c r="G53" s="58"/>
      <c r="H53" s="58"/>
      <c r="I53" s="58"/>
      <c r="J53" s="58"/>
      <c r="K53" s="58"/>
      <c r="L53" s="58"/>
      <c r="M53" s="58"/>
      <c r="N53" s="58"/>
      <c r="O53" s="58"/>
      <c r="P53" s="58"/>
      <c r="Q53" s="58"/>
      <c r="R53" s="58"/>
      <c r="S53" s="58"/>
      <c r="T53" s="58"/>
      <c r="U53" s="58"/>
      <c r="V53" s="58"/>
      <c r="W53" s="58"/>
      <c r="X53" s="58"/>
      <c r="Y53" s="58"/>
      <c r="Z53" s="58"/>
      <c r="AA53" s="58"/>
      <c r="AB53" s="58"/>
      <c r="AC53" s="58"/>
      <c r="AD53" s="58"/>
      <c r="AE53" s="58"/>
      <c r="AF53" s="58"/>
      <c r="AG53" s="58"/>
      <c r="AH53" s="58"/>
      <c r="AI53" s="414"/>
      <c r="AJ53" s="77"/>
      <c r="AK53" s="80"/>
      <c r="AL53" s="58"/>
      <c r="AM53" s="58"/>
      <c r="AN53" s="58"/>
      <c r="AO53" s="58"/>
      <c r="AP53" s="58"/>
      <c r="AQ53" s="58"/>
      <c r="AR53" s="58"/>
      <c r="AS53" s="58"/>
      <c r="AT53" s="58"/>
      <c r="AU53" s="60"/>
      <c r="AV53" s="58"/>
      <c r="AW53" s="58"/>
      <c r="AX53" s="60"/>
      <c r="AY53" s="58"/>
      <c r="AZ53" s="58"/>
      <c r="BA53" s="60"/>
      <c r="BB53" s="58"/>
      <c r="BC53" s="58"/>
      <c r="BD53" s="60"/>
      <c r="BE53" s="58"/>
      <c r="BF53" s="58"/>
      <c r="BG53" s="60"/>
      <c r="BH53" s="58"/>
      <c r="BI53" s="58"/>
      <c r="BJ53" s="60"/>
      <c r="BK53" s="58"/>
      <c r="BL53" s="414"/>
      <c r="BM53" s="33"/>
    </row>
    <row r="54" spans="1:65" s="84" customFormat="1" ht="19.5" customHeight="1">
      <c r="A54" s="537" t="s">
        <v>268</v>
      </c>
      <c r="B54" s="507"/>
      <c r="C54" s="63">
        <f aca="true" t="shared" si="24" ref="C54:AH54">SUM(C55:C57)</f>
        <v>20</v>
      </c>
      <c r="D54" s="63">
        <f t="shared" si="24"/>
        <v>858822</v>
      </c>
      <c r="E54" s="71">
        <f t="shared" si="24"/>
        <v>5</v>
      </c>
      <c r="F54" s="71">
        <f t="shared" si="24"/>
        <v>175414</v>
      </c>
      <c r="G54" s="61">
        <f t="shared" si="24"/>
        <v>3</v>
      </c>
      <c r="H54" s="61">
        <f t="shared" si="24"/>
        <v>71662</v>
      </c>
      <c r="I54" s="61">
        <f t="shared" si="24"/>
        <v>0</v>
      </c>
      <c r="J54" s="61">
        <f t="shared" si="24"/>
        <v>0</v>
      </c>
      <c r="K54" s="61">
        <f>SUM(K55:K57)</f>
        <v>0</v>
      </c>
      <c r="L54" s="61">
        <f>SUM(L55:L57)</f>
        <v>0</v>
      </c>
      <c r="M54" s="61">
        <f t="shared" si="24"/>
        <v>0</v>
      </c>
      <c r="N54" s="61">
        <f t="shared" si="24"/>
        <v>0</v>
      </c>
      <c r="O54" s="61">
        <f t="shared" si="24"/>
        <v>1</v>
      </c>
      <c r="P54" s="61">
        <f t="shared" si="24"/>
        <v>133674</v>
      </c>
      <c r="Q54" s="61">
        <f t="shared" si="24"/>
        <v>0</v>
      </c>
      <c r="R54" s="61">
        <f t="shared" si="24"/>
        <v>0</v>
      </c>
      <c r="S54" s="61">
        <f t="shared" si="24"/>
        <v>0</v>
      </c>
      <c r="T54" s="61">
        <f t="shared" si="24"/>
        <v>0</v>
      </c>
      <c r="U54" s="61">
        <f t="shared" si="24"/>
        <v>0</v>
      </c>
      <c r="V54" s="61">
        <f t="shared" si="24"/>
        <v>0</v>
      </c>
      <c r="W54" s="61">
        <f t="shared" si="24"/>
        <v>1</v>
      </c>
      <c r="X54" s="61">
        <f t="shared" si="24"/>
        <v>48808</v>
      </c>
      <c r="Y54" s="61">
        <f t="shared" si="24"/>
        <v>0</v>
      </c>
      <c r="Z54" s="61">
        <f t="shared" si="24"/>
        <v>0</v>
      </c>
      <c r="AA54" s="61">
        <f t="shared" si="24"/>
        <v>1</v>
      </c>
      <c r="AB54" s="61">
        <f t="shared" si="24"/>
        <v>98976</v>
      </c>
      <c r="AC54" s="61">
        <f t="shared" si="24"/>
        <v>0</v>
      </c>
      <c r="AD54" s="61">
        <f t="shared" si="24"/>
        <v>0</v>
      </c>
      <c r="AE54" s="61">
        <f t="shared" si="24"/>
        <v>3</v>
      </c>
      <c r="AF54" s="61">
        <f t="shared" si="24"/>
        <v>192871</v>
      </c>
      <c r="AG54" s="61">
        <f t="shared" si="24"/>
        <v>0</v>
      </c>
      <c r="AH54" s="61">
        <f t="shared" si="24"/>
        <v>0</v>
      </c>
      <c r="AI54" s="413"/>
      <c r="AJ54" s="537" t="str">
        <f>A54</f>
        <v>　藤岡森林事務所</v>
      </c>
      <c r="AK54" s="507"/>
      <c r="AL54" s="61">
        <f aca="true" t="shared" si="25" ref="AL54:BK54">SUM(AL55:AL57)</f>
        <v>0</v>
      </c>
      <c r="AM54" s="61">
        <f t="shared" si="25"/>
        <v>0</v>
      </c>
      <c r="AN54" s="61">
        <f t="shared" si="25"/>
        <v>2</v>
      </c>
      <c r="AO54" s="61">
        <f t="shared" si="25"/>
        <v>96070</v>
      </c>
      <c r="AP54" s="61">
        <f t="shared" si="25"/>
        <v>0</v>
      </c>
      <c r="AQ54" s="61">
        <f t="shared" si="25"/>
        <v>0</v>
      </c>
      <c r="AR54" s="61">
        <f t="shared" si="25"/>
        <v>0</v>
      </c>
      <c r="AS54" s="61">
        <f t="shared" si="25"/>
        <v>0</v>
      </c>
      <c r="AT54" s="61">
        <f t="shared" si="25"/>
        <v>0</v>
      </c>
      <c r="AU54" s="62">
        <f t="shared" si="25"/>
        <v>0</v>
      </c>
      <c r="AV54" s="61">
        <f t="shared" si="25"/>
        <v>0</v>
      </c>
      <c r="AW54" s="61">
        <f t="shared" si="25"/>
        <v>0</v>
      </c>
      <c r="AX54" s="62">
        <f t="shared" si="25"/>
        <v>0</v>
      </c>
      <c r="AY54" s="76">
        <f t="shared" si="25"/>
        <v>0</v>
      </c>
      <c r="AZ54" s="61">
        <f t="shared" si="25"/>
        <v>1</v>
      </c>
      <c r="BA54" s="62">
        <f t="shared" si="25"/>
        <v>0</v>
      </c>
      <c r="BB54" s="61">
        <f t="shared" si="25"/>
        <v>4223</v>
      </c>
      <c r="BC54" s="61">
        <f t="shared" si="25"/>
        <v>0</v>
      </c>
      <c r="BD54" s="62">
        <f t="shared" si="25"/>
        <v>0</v>
      </c>
      <c r="BE54" s="61">
        <f t="shared" si="25"/>
        <v>0</v>
      </c>
      <c r="BF54" s="61">
        <f t="shared" si="25"/>
        <v>3</v>
      </c>
      <c r="BG54" s="62">
        <f t="shared" si="25"/>
        <v>0</v>
      </c>
      <c r="BH54" s="61">
        <f t="shared" si="25"/>
        <v>37124</v>
      </c>
      <c r="BI54" s="61">
        <f t="shared" si="25"/>
        <v>0</v>
      </c>
      <c r="BJ54" s="65">
        <f t="shared" si="25"/>
        <v>0</v>
      </c>
      <c r="BK54" s="61">
        <f t="shared" si="25"/>
        <v>0</v>
      </c>
      <c r="BL54" s="413"/>
      <c r="BM54" s="83"/>
    </row>
    <row r="55" spans="1:65" s="29" customFormat="1" ht="19.5" customHeight="1">
      <c r="A55" s="77">
        <v>30</v>
      </c>
      <c r="B55" s="56" t="s">
        <v>105</v>
      </c>
      <c r="C55" s="78">
        <f>E55+G55+I55+K55+M55+O55+Q55+S55+U55+W55+Y55+AA55+AC55+AE55+AG55+AL55+AP55+AR55+AN55+AT55+AW55+AZ55+BC55+BF55+BI55</f>
        <v>6</v>
      </c>
      <c r="D55" s="78">
        <f>F55+H55+J55+L55+N55+P55+R55+T55+V55+X55+Z55+AB55+AD55+AF55+AH55+AM55+AQ55+AS55+AO55+AV55+AY55+BB55+BE55+BH55+BK55</f>
        <v>319094</v>
      </c>
      <c r="E55" s="58">
        <v>0</v>
      </c>
      <c r="F55" s="58">
        <v>0</v>
      </c>
      <c r="G55" s="58">
        <v>1</v>
      </c>
      <c r="H55" s="58">
        <v>21830</v>
      </c>
      <c r="I55" s="58">
        <v>0</v>
      </c>
      <c r="J55" s="58">
        <v>0</v>
      </c>
      <c r="K55" s="58">
        <v>0</v>
      </c>
      <c r="L55" s="58">
        <v>0</v>
      </c>
      <c r="M55" s="58">
        <v>0</v>
      </c>
      <c r="N55" s="58">
        <v>0</v>
      </c>
      <c r="O55" s="58">
        <v>1</v>
      </c>
      <c r="P55" s="58">
        <v>133674</v>
      </c>
      <c r="Q55" s="58">
        <v>0</v>
      </c>
      <c r="R55" s="58">
        <v>0</v>
      </c>
      <c r="S55" s="79">
        <v>0</v>
      </c>
      <c r="T55" s="79">
        <v>0</v>
      </c>
      <c r="U55" s="79">
        <v>0</v>
      </c>
      <c r="V55" s="79">
        <v>0</v>
      </c>
      <c r="W55" s="79">
        <v>0</v>
      </c>
      <c r="X55" s="79">
        <v>0</v>
      </c>
      <c r="Y55" s="79">
        <v>0</v>
      </c>
      <c r="Z55" s="79">
        <v>0</v>
      </c>
      <c r="AA55" s="79">
        <v>0</v>
      </c>
      <c r="AB55" s="79">
        <v>0</v>
      </c>
      <c r="AC55" s="79">
        <v>0</v>
      </c>
      <c r="AD55" s="79">
        <v>0</v>
      </c>
      <c r="AE55" s="79">
        <v>2</v>
      </c>
      <c r="AF55" s="79">
        <v>144285</v>
      </c>
      <c r="AG55" s="79">
        <v>0</v>
      </c>
      <c r="AH55" s="79">
        <v>0</v>
      </c>
      <c r="AI55" s="414">
        <v>30</v>
      </c>
      <c r="AJ55" s="414">
        <v>30</v>
      </c>
      <c r="AK55" s="56" t="s">
        <v>105</v>
      </c>
      <c r="AL55" s="58">
        <v>0</v>
      </c>
      <c r="AM55" s="58">
        <v>0</v>
      </c>
      <c r="AN55" s="58">
        <v>0</v>
      </c>
      <c r="AO55" s="58">
        <v>0</v>
      </c>
      <c r="AP55" s="58">
        <v>0</v>
      </c>
      <c r="AQ55" s="58">
        <v>0</v>
      </c>
      <c r="AR55" s="58">
        <v>0</v>
      </c>
      <c r="AS55" s="58">
        <v>0</v>
      </c>
      <c r="AT55" s="58">
        <v>0</v>
      </c>
      <c r="AU55" s="60">
        <v>0</v>
      </c>
      <c r="AV55" s="58">
        <v>0</v>
      </c>
      <c r="AW55" s="58">
        <v>0</v>
      </c>
      <c r="AX55" s="60">
        <v>0</v>
      </c>
      <c r="AY55" s="58">
        <v>0</v>
      </c>
      <c r="AZ55" s="58">
        <v>1</v>
      </c>
      <c r="BA55" s="60"/>
      <c r="BB55" s="58">
        <v>4223</v>
      </c>
      <c r="BC55" s="58">
        <v>0</v>
      </c>
      <c r="BD55" s="58">
        <v>0</v>
      </c>
      <c r="BE55" s="58">
        <v>0</v>
      </c>
      <c r="BF55" s="58">
        <v>1</v>
      </c>
      <c r="BG55" s="60"/>
      <c r="BH55" s="58">
        <v>15082</v>
      </c>
      <c r="BI55" s="58">
        <v>0</v>
      </c>
      <c r="BJ55" s="58">
        <v>0</v>
      </c>
      <c r="BK55" s="58">
        <v>0</v>
      </c>
      <c r="BL55" s="414">
        <v>31</v>
      </c>
      <c r="BM55" s="33"/>
    </row>
    <row r="56" spans="1:65" s="29" customFormat="1" ht="19.5" customHeight="1">
      <c r="A56" s="77">
        <v>31</v>
      </c>
      <c r="B56" s="56" t="s">
        <v>106</v>
      </c>
      <c r="C56" s="78">
        <f>E56+G56+I56+K56+M56+O56+Q56+S56+U56+W56+Y56+AA56+AC56+AE56+AG56+AL56+AP56+AR56+AN56+AT56+AW56+AZ56+BC56+BF56+BI56</f>
        <v>6</v>
      </c>
      <c r="D56" s="78">
        <f>F56+H56+J56+L56+N56+P56+R56+T56+V56+X56+Z56+AB56+AD56+AF56+AH56+AM56+AQ56+AS56+AO56+AV56+AY56+BB56+BE56+BH56+BK56</f>
        <v>140813</v>
      </c>
      <c r="E56" s="58">
        <v>3</v>
      </c>
      <c r="F56" s="58">
        <v>85468</v>
      </c>
      <c r="G56" s="58">
        <v>2</v>
      </c>
      <c r="H56" s="58">
        <v>49832</v>
      </c>
      <c r="I56" s="58">
        <v>0</v>
      </c>
      <c r="J56" s="58">
        <v>0</v>
      </c>
      <c r="K56" s="58">
        <v>0</v>
      </c>
      <c r="L56" s="58">
        <v>0</v>
      </c>
      <c r="M56" s="58">
        <v>0</v>
      </c>
      <c r="N56" s="58">
        <v>0</v>
      </c>
      <c r="O56" s="58">
        <v>0</v>
      </c>
      <c r="P56" s="58">
        <v>0</v>
      </c>
      <c r="Q56" s="58">
        <v>0</v>
      </c>
      <c r="R56" s="58">
        <v>0</v>
      </c>
      <c r="S56" s="79">
        <v>0</v>
      </c>
      <c r="T56" s="79">
        <v>0</v>
      </c>
      <c r="U56" s="79">
        <v>0</v>
      </c>
      <c r="V56" s="79">
        <v>0</v>
      </c>
      <c r="W56" s="79">
        <v>0</v>
      </c>
      <c r="X56" s="79">
        <v>0</v>
      </c>
      <c r="Y56" s="79">
        <v>0</v>
      </c>
      <c r="Z56" s="79">
        <v>0</v>
      </c>
      <c r="AA56" s="79">
        <v>0</v>
      </c>
      <c r="AB56" s="79">
        <v>0</v>
      </c>
      <c r="AC56" s="79">
        <v>0</v>
      </c>
      <c r="AD56" s="79">
        <v>0</v>
      </c>
      <c r="AE56" s="79">
        <v>0</v>
      </c>
      <c r="AF56" s="79">
        <v>0</v>
      </c>
      <c r="AG56" s="79">
        <v>0</v>
      </c>
      <c r="AH56" s="79">
        <v>0</v>
      </c>
      <c r="AI56" s="414">
        <v>31</v>
      </c>
      <c r="AJ56" s="414">
        <v>31</v>
      </c>
      <c r="AK56" s="56" t="s">
        <v>106</v>
      </c>
      <c r="AL56" s="58">
        <v>0</v>
      </c>
      <c r="AM56" s="58">
        <v>0</v>
      </c>
      <c r="AN56" s="58">
        <v>0</v>
      </c>
      <c r="AO56" s="58">
        <v>0</v>
      </c>
      <c r="AP56" s="58">
        <v>0</v>
      </c>
      <c r="AQ56" s="58">
        <v>0</v>
      </c>
      <c r="AR56" s="58">
        <v>0</v>
      </c>
      <c r="AS56" s="58">
        <v>0</v>
      </c>
      <c r="AT56" s="58">
        <v>0</v>
      </c>
      <c r="AU56" s="60">
        <v>0</v>
      </c>
      <c r="AV56" s="58">
        <v>0</v>
      </c>
      <c r="AW56" s="58">
        <v>0</v>
      </c>
      <c r="AX56" s="60">
        <v>0</v>
      </c>
      <c r="AY56" s="58">
        <v>0</v>
      </c>
      <c r="AZ56" s="58">
        <v>0</v>
      </c>
      <c r="BA56" s="60">
        <v>0</v>
      </c>
      <c r="BB56" s="58">
        <v>0</v>
      </c>
      <c r="BC56" s="58">
        <v>0</v>
      </c>
      <c r="BD56" s="58">
        <v>0</v>
      </c>
      <c r="BE56" s="58">
        <v>0</v>
      </c>
      <c r="BF56" s="58">
        <v>1</v>
      </c>
      <c r="BG56" s="60"/>
      <c r="BH56" s="58">
        <v>5513</v>
      </c>
      <c r="BI56" s="58">
        <v>0</v>
      </c>
      <c r="BJ56" s="58">
        <v>0</v>
      </c>
      <c r="BK56" s="58">
        <v>0</v>
      </c>
      <c r="BL56" s="414">
        <v>33</v>
      </c>
      <c r="BM56" s="33"/>
    </row>
    <row r="57" spans="1:65" s="29" customFormat="1" ht="19.5" customHeight="1">
      <c r="A57" s="77">
        <v>32</v>
      </c>
      <c r="B57" s="56" t="s">
        <v>107</v>
      </c>
      <c r="C57" s="78">
        <f>E57+G57+I57+K57+M57+O57+Q57+S57+U57+W57+Y57+AA57+AC57+AE57+AG57+AL57+AP57+AR57+AN57+AT57+AW57+AZ57+BC57+BF57+BI57</f>
        <v>8</v>
      </c>
      <c r="D57" s="78">
        <f>F57+H57+J57+L57+N57+P57+R57+T57+V57+X57+Z57+AB57+AD57+AF57+AH57+AM57+AQ57+AS57+AO57+AV57+AY57+BB57+BE57+BH57+BK57</f>
        <v>398915</v>
      </c>
      <c r="E57" s="58">
        <v>2</v>
      </c>
      <c r="F57" s="58">
        <v>89946</v>
      </c>
      <c r="G57" s="58">
        <v>0</v>
      </c>
      <c r="H57" s="58">
        <v>0</v>
      </c>
      <c r="I57" s="58">
        <v>0</v>
      </c>
      <c r="J57" s="58">
        <v>0</v>
      </c>
      <c r="K57" s="58">
        <v>0</v>
      </c>
      <c r="L57" s="58">
        <v>0</v>
      </c>
      <c r="M57" s="58">
        <v>0</v>
      </c>
      <c r="N57" s="58">
        <v>0</v>
      </c>
      <c r="O57" s="58">
        <v>0</v>
      </c>
      <c r="P57" s="58">
        <v>0</v>
      </c>
      <c r="Q57" s="58">
        <v>0</v>
      </c>
      <c r="R57" s="58">
        <v>0</v>
      </c>
      <c r="S57" s="79">
        <v>0</v>
      </c>
      <c r="T57" s="79">
        <v>0</v>
      </c>
      <c r="U57" s="79">
        <v>0</v>
      </c>
      <c r="V57" s="79">
        <v>0</v>
      </c>
      <c r="W57" s="79">
        <v>1</v>
      </c>
      <c r="X57" s="79">
        <v>48808</v>
      </c>
      <c r="Y57" s="79">
        <v>0</v>
      </c>
      <c r="Z57" s="79">
        <v>0</v>
      </c>
      <c r="AA57" s="79">
        <v>1</v>
      </c>
      <c r="AB57" s="79">
        <v>98976</v>
      </c>
      <c r="AC57" s="79">
        <v>0</v>
      </c>
      <c r="AD57" s="79">
        <v>0</v>
      </c>
      <c r="AE57" s="79">
        <v>1</v>
      </c>
      <c r="AF57" s="79">
        <v>48586</v>
      </c>
      <c r="AG57" s="79">
        <v>0</v>
      </c>
      <c r="AH57" s="79">
        <v>0</v>
      </c>
      <c r="AI57" s="414">
        <v>32</v>
      </c>
      <c r="AJ57" s="414">
        <v>32</v>
      </c>
      <c r="AK57" s="56" t="s">
        <v>107</v>
      </c>
      <c r="AL57" s="58">
        <v>0</v>
      </c>
      <c r="AM57" s="58">
        <v>0</v>
      </c>
      <c r="AN57" s="58">
        <v>2</v>
      </c>
      <c r="AO57" s="58">
        <v>96070</v>
      </c>
      <c r="AP57" s="58">
        <v>0</v>
      </c>
      <c r="AQ57" s="58">
        <v>0</v>
      </c>
      <c r="AR57" s="58">
        <v>0</v>
      </c>
      <c r="AS57" s="58">
        <v>0</v>
      </c>
      <c r="AT57" s="58">
        <v>0</v>
      </c>
      <c r="AU57" s="60">
        <v>0</v>
      </c>
      <c r="AV57" s="58">
        <v>0</v>
      </c>
      <c r="AW57" s="58">
        <v>0</v>
      </c>
      <c r="AX57" s="60">
        <v>0</v>
      </c>
      <c r="AY57" s="58">
        <v>0</v>
      </c>
      <c r="AZ57" s="58">
        <v>0</v>
      </c>
      <c r="BA57" s="60">
        <v>0</v>
      </c>
      <c r="BB57" s="58">
        <v>0</v>
      </c>
      <c r="BC57" s="58">
        <v>0</v>
      </c>
      <c r="BD57" s="58">
        <v>0</v>
      </c>
      <c r="BE57" s="58">
        <v>0</v>
      </c>
      <c r="BF57" s="58">
        <v>1</v>
      </c>
      <c r="BG57" s="60"/>
      <c r="BH57" s="58">
        <v>16529</v>
      </c>
      <c r="BI57" s="58">
        <v>0</v>
      </c>
      <c r="BJ57" s="58">
        <v>0</v>
      </c>
      <c r="BK57" s="58">
        <v>0</v>
      </c>
      <c r="BL57" s="414">
        <v>34</v>
      </c>
      <c r="BM57" s="33"/>
    </row>
    <row r="58" spans="1:65" s="29" customFormat="1" ht="19.5" customHeight="1">
      <c r="A58" s="77"/>
      <c r="B58" s="80"/>
      <c r="C58" s="78"/>
      <c r="D58" s="78"/>
      <c r="E58" s="58"/>
      <c r="F58" s="58"/>
      <c r="G58" s="58"/>
      <c r="H58" s="58"/>
      <c r="I58" s="58"/>
      <c r="J58" s="58"/>
      <c r="K58" s="58"/>
      <c r="L58" s="58"/>
      <c r="M58" s="58"/>
      <c r="N58" s="58"/>
      <c r="O58" s="58"/>
      <c r="P58" s="58"/>
      <c r="Q58" s="58"/>
      <c r="R58" s="58"/>
      <c r="S58" s="58"/>
      <c r="T58" s="58"/>
      <c r="U58" s="58"/>
      <c r="V58" s="58"/>
      <c r="W58" s="58"/>
      <c r="X58" s="58"/>
      <c r="Y58" s="58"/>
      <c r="Z58" s="58"/>
      <c r="AA58" s="58"/>
      <c r="AB58" s="58"/>
      <c r="AC58" s="58"/>
      <c r="AD58" s="58"/>
      <c r="AE58" s="58"/>
      <c r="AF58" s="58"/>
      <c r="AG58" s="58"/>
      <c r="AH58" s="58"/>
      <c r="AI58" s="414"/>
      <c r="AJ58" s="77"/>
      <c r="AK58" s="80"/>
      <c r="AL58" s="58"/>
      <c r="AM58" s="58"/>
      <c r="AN58" s="58"/>
      <c r="AO58" s="58"/>
      <c r="AP58" s="58"/>
      <c r="AQ58" s="58"/>
      <c r="AR58" s="58"/>
      <c r="AS58" s="58"/>
      <c r="AT58" s="58"/>
      <c r="AU58" s="60"/>
      <c r="AV58" s="58"/>
      <c r="AW58" s="58"/>
      <c r="AX58" s="60"/>
      <c r="AY58" s="58"/>
      <c r="AZ58" s="58"/>
      <c r="BA58" s="60"/>
      <c r="BB58" s="58"/>
      <c r="BC58" s="58"/>
      <c r="BD58" s="60"/>
      <c r="BE58" s="58"/>
      <c r="BF58" s="58"/>
      <c r="BG58" s="60"/>
      <c r="BH58" s="58"/>
      <c r="BI58" s="58"/>
      <c r="BJ58" s="60"/>
      <c r="BK58" s="58"/>
      <c r="BL58" s="414"/>
      <c r="BM58" s="33"/>
    </row>
    <row r="59" spans="1:65" s="84" customFormat="1" ht="19.5" customHeight="1">
      <c r="A59" s="537" t="s">
        <v>269</v>
      </c>
      <c r="B59" s="507"/>
      <c r="C59" s="63">
        <f aca="true" t="shared" si="26" ref="C59:AH59">SUM(C60:C63)</f>
        <v>26</v>
      </c>
      <c r="D59" s="63">
        <f t="shared" si="26"/>
        <v>995951</v>
      </c>
      <c r="E59" s="71">
        <f t="shared" si="26"/>
        <v>3</v>
      </c>
      <c r="F59" s="71">
        <f t="shared" si="26"/>
        <v>124164</v>
      </c>
      <c r="G59" s="61">
        <f t="shared" si="26"/>
        <v>3</v>
      </c>
      <c r="H59" s="61">
        <f t="shared" si="26"/>
        <v>126229</v>
      </c>
      <c r="I59" s="61">
        <f t="shared" si="26"/>
        <v>0</v>
      </c>
      <c r="J59" s="61">
        <f t="shared" si="26"/>
        <v>0</v>
      </c>
      <c r="K59" s="61">
        <f>SUM(K60:K63)</f>
        <v>0</v>
      </c>
      <c r="L59" s="61">
        <f>SUM(L60:L63)</f>
        <v>0</v>
      </c>
      <c r="M59" s="61">
        <f t="shared" si="26"/>
        <v>0</v>
      </c>
      <c r="N59" s="61">
        <f t="shared" si="26"/>
        <v>0</v>
      </c>
      <c r="O59" s="61">
        <f t="shared" si="26"/>
        <v>1</v>
      </c>
      <c r="P59" s="61">
        <f t="shared" si="26"/>
        <v>63234</v>
      </c>
      <c r="Q59" s="61">
        <f t="shared" si="26"/>
        <v>0</v>
      </c>
      <c r="R59" s="61">
        <f t="shared" si="26"/>
        <v>0</v>
      </c>
      <c r="S59" s="61">
        <f t="shared" si="26"/>
        <v>0</v>
      </c>
      <c r="T59" s="61">
        <f t="shared" si="26"/>
        <v>0</v>
      </c>
      <c r="U59" s="61">
        <f t="shared" si="26"/>
        <v>0</v>
      </c>
      <c r="V59" s="61">
        <f t="shared" si="26"/>
        <v>0</v>
      </c>
      <c r="W59" s="61">
        <f t="shared" si="26"/>
        <v>1</v>
      </c>
      <c r="X59" s="61">
        <f t="shared" si="26"/>
        <v>23524</v>
      </c>
      <c r="Y59" s="61">
        <f t="shared" si="26"/>
        <v>0</v>
      </c>
      <c r="Z59" s="61">
        <f t="shared" si="26"/>
        <v>0</v>
      </c>
      <c r="AA59" s="61">
        <f t="shared" si="26"/>
        <v>0</v>
      </c>
      <c r="AB59" s="61">
        <f t="shared" si="26"/>
        <v>0</v>
      </c>
      <c r="AC59" s="61">
        <f t="shared" si="26"/>
        <v>0</v>
      </c>
      <c r="AD59" s="61">
        <f t="shared" si="26"/>
        <v>0</v>
      </c>
      <c r="AE59" s="61">
        <f t="shared" si="26"/>
        <v>0</v>
      </c>
      <c r="AF59" s="61">
        <f t="shared" si="26"/>
        <v>0</v>
      </c>
      <c r="AG59" s="61">
        <f t="shared" si="26"/>
        <v>0</v>
      </c>
      <c r="AH59" s="61">
        <f t="shared" si="26"/>
        <v>0</v>
      </c>
      <c r="AI59" s="413"/>
      <c r="AJ59" s="537" t="str">
        <f>A59</f>
        <v>　富岡森林事務所</v>
      </c>
      <c r="AK59" s="507"/>
      <c r="AL59" s="61">
        <f aca="true" t="shared" si="27" ref="AL59:BK59">SUM(AL60:AL63)</f>
        <v>0</v>
      </c>
      <c r="AM59" s="61">
        <f t="shared" si="27"/>
        <v>0</v>
      </c>
      <c r="AN59" s="61">
        <f t="shared" si="27"/>
        <v>0</v>
      </c>
      <c r="AO59" s="61">
        <f t="shared" si="27"/>
        <v>0</v>
      </c>
      <c r="AP59" s="61">
        <f t="shared" si="27"/>
        <v>9</v>
      </c>
      <c r="AQ59" s="61">
        <f t="shared" si="27"/>
        <v>401949</v>
      </c>
      <c r="AR59" s="61">
        <f t="shared" si="27"/>
        <v>1</v>
      </c>
      <c r="AS59" s="61">
        <f t="shared" si="27"/>
        <v>200002</v>
      </c>
      <c r="AT59" s="61">
        <f t="shared" si="27"/>
        <v>0</v>
      </c>
      <c r="AU59" s="62">
        <f t="shared" si="27"/>
        <v>0</v>
      </c>
      <c r="AV59" s="61">
        <f t="shared" si="27"/>
        <v>0</v>
      </c>
      <c r="AW59" s="61">
        <f t="shared" si="27"/>
        <v>0</v>
      </c>
      <c r="AX59" s="62">
        <f t="shared" si="27"/>
        <v>0</v>
      </c>
      <c r="AY59" s="76">
        <f t="shared" si="27"/>
        <v>0</v>
      </c>
      <c r="AZ59" s="61">
        <f t="shared" si="27"/>
        <v>4</v>
      </c>
      <c r="BA59" s="62">
        <f t="shared" si="27"/>
        <v>0</v>
      </c>
      <c r="BB59" s="61">
        <f t="shared" si="27"/>
        <v>13778</v>
      </c>
      <c r="BC59" s="61">
        <f t="shared" si="27"/>
        <v>0</v>
      </c>
      <c r="BD59" s="62">
        <f t="shared" si="27"/>
        <v>0</v>
      </c>
      <c r="BE59" s="61">
        <f t="shared" si="27"/>
        <v>0</v>
      </c>
      <c r="BF59" s="61">
        <f t="shared" si="27"/>
        <v>4</v>
      </c>
      <c r="BG59" s="62">
        <f t="shared" si="27"/>
        <v>0</v>
      </c>
      <c r="BH59" s="61">
        <f t="shared" si="27"/>
        <v>43071</v>
      </c>
      <c r="BI59" s="61">
        <f t="shared" si="27"/>
        <v>0</v>
      </c>
      <c r="BJ59" s="65">
        <f t="shared" si="27"/>
        <v>0</v>
      </c>
      <c r="BK59" s="61">
        <f t="shared" si="27"/>
        <v>0</v>
      </c>
      <c r="BL59" s="413"/>
      <c r="BM59" s="83"/>
    </row>
    <row r="60" spans="1:65" ht="19.5" customHeight="1">
      <c r="A60" s="77">
        <v>33</v>
      </c>
      <c r="B60" s="56" t="s">
        <v>108</v>
      </c>
      <c r="C60" s="78">
        <f>E60+G60+I60+K60+M60+O60+Q60+S60+U60+W60+Y60+AA60+AC60+AE60+AG60+AL60+AP60+AR60+AN60+AT60+AW60+AZ60+BC60+BF60+BI60</f>
        <v>3</v>
      </c>
      <c r="D60" s="78">
        <f>F60+H60+J60+L60+N60+P60+R60+T60+V60+X60+Z60+AB60+AD60+AF60+AH60+AM60+AQ60+AS60+AO60+AV60+AY60+BB60+BE60+BH60+BK60</f>
        <v>97377</v>
      </c>
      <c r="E60" s="58">
        <v>0</v>
      </c>
      <c r="F60" s="58">
        <v>0</v>
      </c>
      <c r="G60" s="58">
        <v>0</v>
      </c>
      <c r="H60" s="58">
        <v>0</v>
      </c>
      <c r="I60" s="58">
        <v>0</v>
      </c>
      <c r="J60" s="58">
        <v>0</v>
      </c>
      <c r="K60" s="58">
        <v>0</v>
      </c>
      <c r="L60" s="58">
        <v>0</v>
      </c>
      <c r="M60" s="58">
        <v>0</v>
      </c>
      <c r="N60" s="58">
        <v>0</v>
      </c>
      <c r="O60" s="58">
        <v>0</v>
      </c>
      <c r="P60" s="58">
        <v>0</v>
      </c>
      <c r="Q60" s="58">
        <v>0</v>
      </c>
      <c r="R60" s="58">
        <v>0</v>
      </c>
      <c r="S60" s="79">
        <v>0</v>
      </c>
      <c r="T60" s="79">
        <v>0</v>
      </c>
      <c r="U60" s="79">
        <v>0</v>
      </c>
      <c r="V60" s="79">
        <v>0</v>
      </c>
      <c r="W60" s="79">
        <v>0</v>
      </c>
      <c r="X60" s="79">
        <v>0</v>
      </c>
      <c r="Y60" s="79">
        <v>0</v>
      </c>
      <c r="Z60" s="79">
        <v>0</v>
      </c>
      <c r="AA60" s="79">
        <v>0</v>
      </c>
      <c r="AB60" s="79">
        <v>0</v>
      </c>
      <c r="AC60" s="79">
        <v>0</v>
      </c>
      <c r="AD60" s="79">
        <v>0</v>
      </c>
      <c r="AE60" s="79">
        <v>0</v>
      </c>
      <c r="AF60" s="79">
        <v>0</v>
      </c>
      <c r="AG60" s="79">
        <v>0</v>
      </c>
      <c r="AH60" s="79">
        <v>0</v>
      </c>
      <c r="AI60" s="414">
        <v>33</v>
      </c>
      <c r="AJ60" s="414">
        <v>33</v>
      </c>
      <c r="AK60" s="56" t="s">
        <v>108</v>
      </c>
      <c r="AL60" s="58">
        <v>0</v>
      </c>
      <c r="AM60" s="58">
        <v>0</v>
      </c>
      <c r="AN60" s="58">
        <v>0</v>
      </c>
      <c r="AO60" s="58">
        <v>0</v>
      </c>
      <c r="AP60" s="58">
        <v>1</v>
      </c>
      <c r="AQ60" s="58">
        <v>87603</v>
      </c>
      <c r="AR60" s="58">
        <v>0</v>
      </c>
      <c r="AS60" s="58">
        <v>0</v>
      </c>
      <c r="AT60" s="58">
        <v>0</v>
      </c>
      <c r="AU60" s="60">
        <v>0</v>
      </c>
      <c r="AV60" s="58">
        <v>0</v>
      </c>
      <c r="AW60" s="58">
        <v>0</v>
      </c>
      <c r="AX60" s="60">
        <v>0</v>
      </c>
      <c r="AY60" s="58">
        <v>0</v>
      </c>
      <c r="AZ60" s="58">
        <v>1</v>
      </c>
      <c r="BA60" s="60"/>
      <c r="BB60" s="58">
        <v>2609</v>
      </c>
      <c r="BC60" s="58">
        <v>0</v>
      </c>
      <c r="BD60" s="58">
        <v>0</v>
      </c>
      <c r="BE60" s="58">
        <v>0</v>
      </c>
      <c r="BF60" s="58">
        <v>1</v>
      </c>
      <c r="BG60" s="60"/>
      <c r="BH60" s="58">
        <v>7165</v>
      </c>
      <c r="BI60" s="58">
        <v>0</v>
      </c>
      <c r="BJ60" s="58">
        <v>0</v>
      </c>
      <c r="BK60" s="58">
        <v>0</v>
      </c>
      <c r="BL60" s="414">
        <v>35</v>
      </c>
      <c r="BM60" s="40"/>
    </row>
    <row r="61" spans="1:65" ht="19.5" customHeight="1">
      <c r="A61" s="77">
        <v>34</v>
      </c>
      <c r="B61" s="56" t="s">
        <v>109</v>
      </c>
      <c r="C61" s="78">
        <f>E61+G61+I61+K61+M61+O61+Q61+S61+U61+W61+Y61+AA61+AC61+AE61+AG61+AL61+AP61+AR61+AN61+AT61+AW61+AZ61+BC61+BF61+BI61</f>
        <v>4</v>
      </c>
      <c r="D61" s="78">
        <f>F61+H61+J61+L61+N61+P61+R61+T61+V61+X61+Z61+AB61+AD61+AF61+AH61+AM61+AQ61+AS61+AO61+AV61+AY61+BB61+BE61+BH61+BK61</f>
        <v>87019</v>
      </c>
      <c r="E61" s="58">
        <v>1</v>
      </c>
      <c r="F61" s="58">
        <v>42073</v>
      </c>
      <c r="G61" s="58">
        <v>0</v>
      </c>
      <c r="H61" s="58">
        <v>0</v>
      </c>
      <c r="I61" s="58">
        <v>0</v>
      </c>
      <c r="J61" s="58">
        <v>0</v>
      </c>
      <c r="K61" s="58">
        <v>0</v>
      </c>
      <c r="L61" s="58">
        <v>0</v>
      </c>
      <c r="M61" s="58">
        <v>0</v>
      </c>
      <c r="N61" s="58">
        <v>0</v>
      </c>
      <c r="O61" s="58">
        <v>0</v>
      </c>
      <c r="P61" s="58">
        <v>0</v>
      </c>
      <c r="Q61" s="58">
        <v>0</v>
      </c>
      <c r="R61" s="58">
        <v>0</v>
      </c>
      <c r="S61" s="79">
        <v>0</v>
      </c>
      <c r="T61" s="79">
        <v>0</v>
      </c>
      <c r="U61" s="79">
        <v>0</v>
      </c>
      <c r="V61" s="79">
        <v>0</v>
      </c>
      <c r="W61" s="79">
        <v>1</v>
      </c>
      <c r="X61" s="79">
        <v>23524</v>
      </c>
      <c r="Y61" s="79">
        <v>0</v>
      </c>
      <c r="Z61" s="79">
        <v>0</v>
      </c>
      <c r="AA61" s="79">
        <v>0</v>
      </c>
      <c r="AB61" s="79">
        <v>0</v>
      </c>
      <c r="AC61" s="79">
        <v>0</v>
      </c>
      <c r="AD61" s="79">
        <v>0</v>
      </c>
      <c r="AE61" s="79">
        <v>0</v>
      </c>
      <c r="AF61" s="79">
        <v>0</v>
      </c>
      <c r="AG61" s="79">
        <v>0</v>
      </c>
      <c r="AH61" s="79">
        <v>0</v>
      </c>
      <c r="AI61" s="414">
        <v>34</v>
      </c>
      <c r="AJ61" s="414">
        <v>34</v>
      </c>
      <c r="AK61" s="56" t="s">
        <v>109</v>
      </c>
      <c r="AL61" s="58">
        <v>0</v>
      </c>
      <c r="AM61" s="58">
        <v>0</v>
      </c>
      <c r="AN61" s="58">
        <v>0</v>
      </c>
      <c r="AO61" s="58">
        <v>0</v>
      </c>
      <c r="AP61" s="58">
        <v>0</v>
      </c>
      <c r="AQ61" s="58">
        <v>0</v>
      </c>
      <c r="AR61" s="58">
        <v>0</v>
      </c>
      <c r="AS61" s="58">
        <v>0</v>
      </c>
      <c r="AT61" s="58">
        <v>0</v>
      </c>
      <c r="AU61" s="60">
        <v>0</v>
      </c>
      <c r="AV61" s="58">
        <v>0</v>
      </c>
      <c r="AW61" s="58">
        <v>0</v>
      </c>
      <c r="AX61" s="60">
        <v>0</v>
      </c>
      <c r="AY61" s="58">
        <v>0</v>
      </c>
      <c r="AZ61" s="58">
        <v>1</v>
      </c>
      <c r="BA61" s="60"/>
      <c r="BB61" s="58">
        <v>3788</v>
      </c>
      <c r="BC61" s="58">
        <v>0</v>
      </c>
      <c r="BD61" s="58">
        <v>0</v>
      </c>
      <c r="BE61" s="58">
        <v>0</v>
      </c>
      <c r="BF61" s="58">
        <v>1</v>
      </c>
      <c r="BG61" s="60"/>
      <c r="BH61" s="58">
        <v>17634</v>
      </c>
      <c r="BI61" s="58">
        <v>0</v>
      </c>
      <c r="BJ61" s="58">
        <v>0</v>
      </c>
      <c r="BK61" s="58">
        <v>0</v>
      </c>
      <c r="BL61" s="414">
        <v>36</v>
      </c>
      <c r="BM61" s="40"/>
    </row>
    <row r="62" spans="1:65" ht="19.5" customHeight="1">
      <c r="A62" s="77">
        <v>35</v>
      </c>
      <c r="B62" s="56" t="s">
        <v>110</v>
      </c>
      <c r="C62" s="78">
        <f>E62+G62+I62+K62+M62+O62+Q62+S62+U62+W62+Y62+AA62+AC62+AE62+AG62+AL62+AP62+AR62+AN62+AT62+AW62+AZ62+BC62+BF62+BI62</f>
        <v>13</v>
      </c>
      <c r="D62" s="78">
        <f>F62+H62+J62+L62+N62+P62+R62+T62+V62+X62+Z62+AB62+AD62+AF62+AH62+AM62+AQ62+AS62+AO62+AV62+AY62+BB62+BE62+BH62+BK62</f>
        <v>498619</v>
      </c>
      <c r="E62" s="58">
        <v>2</v>
      </c>
      <c r="F62" s="58">
        <v>82091</v>
      </c>
      <c r="G62" s="58">
        <v>3</v>
      </c>
      <c r="H62" s="58">
        <v>126229</v>
      </c>
      <c r="I62" s="58">
        <v>0</v>
      </c>
      <c r="J62" s="58">
        <v>0</v>
      </c>
      <c r="K62" s="58">
        <v>0</v>
      </c>
      <c r="L62" s="58">
        <v>0</v>
      </c>
      <c r="M62" s="58">
        <v>0</v>
      </c>
      <c r="N62" s="58">
        <v>0</v>
      </c>
      <c r="O62" s="58">
        <v>1</v>
      </c>
      <c r="P62" s="58">
        <v>63234</v>
      </c>
      <c r="Q62" s="58">
        <v>0</v>
      </c>
      <c r="R62" s="58">
        <v>0</v>
      </c>
      <c r="S62" s="79">
        <v>0</v>
      </c>
      <c r="T62" s="79">
        <v>0</v>
      </c>
      <c r="U62" s="79">
        <v>0</v>
      </c>
      <c r="V62" s="79">
        <v>0</v>
      </c>
      <c r="W62" s="79">
        <v>0</v>
      </c>
      <c r="X62" s="79">
        <v>0</v>
      </c>
      <c r="Y62" s="79">
        <v>0</v>
      </c>
      <c r="Z62" s="79">
        <v>0</v>
      </c>
      <c r="AA62" s="79">
        <v>0</v>
      </c>
      <c r="AB62" s="79">
        <v>0</v>
      </c>
      <c r="AC62" s="79">
        <v>0</v>
      </c>
      <c r="AD62" s="79">
        <v>0</v>
      </c>
      <c r="AE62" s="79">
        <v>0</v>
      </c>
      <c r="AF62" s="79">
        <v>0</v>
      </c>
      <c r="AG62" s="79">
        <v>0</v>
      </c>
      <c r="AH62" s="79">
        <v>0</v>
      </c>
      <c r="AI62" s="414">
        <v>35</v>
      </c>
      <c r="AJ62" s="414">
        <v>35</v>
      </c>
      <c r="AK62" s="56" t="s">
        <v>110</v>
      </c>
      <c r="AL62" s="58">
        <v>0</v>
      </c>
      <c r="AM62" s="58">
        <v>0</v>
      </c>
      <c r="AN62" s="58">
        <v>0</v>
      </c>
      <c r="AO62" s="58">
        <v>0</v>
      </c>
      <c r="AP62" s="58">
        <v>5</v>
      </c>
      <c r="AQ62" s="58">
        <v>211483</v>
      </c>
      <c r="AR62" s="58">
        <v>0</v>
      </c>
      <c r="AS62" s="58">
        <v>0</v>
      </c>
      <c r="AT62" s="58">
        <v>0</v>
      </c>
      <c r="AU62" s="60">
        <v>0</v>
      </c>
      <c r="AV62" s="58">
        <v>0</v>
      </c>
      <c r="AW62" s="58">
        <v>0</v>
      </c>
      <c r="AX62" s="60">
        <v>0</v>
      </c>
      <c r="AY62" s="58">
        <v>0</v>
      </c>
      <c r="AZ62" s="58">
        <v>1</v>
      </c>
      <c r="BA62" s="60"/>
      <c r="BB62" s="58">
        <v>4669</v>
      </c>
      <c r="BC62" s="58">
        <v>0</v>
      </c>
      <c r="BD62" s="58">
        <v>0</v>
      </c>
      <c r="BE62" s="58">
        <v>0</v>
      </c>
      <c r="BF62" s="58">
        <v>1</v>
      </c>
      <c r="BG62" s="60"/>
      <c r="BH62" s="58">
        <v>10913</v>
      </c>
      <c r="BI62" s="58">
        <v>0</v>
      </c>
      <c r="BJ62" s="58">
        <v>0</v>
      </c>
      <c r="BK62" s="58">
        <v>0</v>
      </c>
      <c r="BL62" s="414">
        <v>37</v>
      </c>
      <c r="BM62" s="40"/>
    </row>
    <row r="63" spans="1:65" ht="19.5" customHeight="1">
      <c r="A63" s="77">
        <v>36</v>
      </c>
      <c r="B63" s="56" t="s">
        <v>111</v>
      </c>
      <c r="C63" s="78">
        <f>E63+G63+I63+K63+M63+O63+Q63+S63+U63+W63+Y63+AA63+AC63+AE63+AG63+AL63+AP63+AR63+AN63+AT63+AW63+AZ63+BC63+BF63+BI63</f>
        <v>6</v>
      </c>
      <c r="D63" s="78">
        <f>F63+H63+J63+L63+N63+P63+R63+T63+V63+X63+Z63+AB63+AD63+AF63+AH63+AM63+AQ63+AS63+AO63+AV63+AY63+BB63+BE63+BH63+BK63</f>
        <v>312936</v>
      </c>
      <c r="E63" s="58">
        <v>0</v>
      </c>
      <c r="F63" s="58">
        <v>0</v>
      </c>
      <c r="G63" s="58">
        <v>0</v>
      </c>
      <c r="H63" s="58">
        <v>0</v>
      </c>
      <c r="I63" s="58">
        <v>0</v>
      </c>
      <c r="J63" s="58">
        <v>0</v>
      </c>
      <c r="K63" s="58">
        <v>0</v>
      </c>
      <c r="L63" s="58">
        <v>0</v>
      </c>
      <c r="M63" s="58">
        <v>0</v>
      </c>
      <c r="N63" s="58">
        <v>0</v>
      </c>
      <c r="O63" s="58">
        <v>0</v>
      </c>
      <c r="P63" s="58">
        <v>0</v>
      </c>
      <c r="Q63" s="58">
        <v>0</v>
      </c>
      <c r="R63" s="58">
        <v>0</v>
      </c>
      <c r="S63" s="79">
        <v>0</v>
      </c>
      <c r="T63" s="79">
        <v>0</v>
      </c>
      <c r="U63" s="79">
        <v>0</v>
      </c>
      <c r="V63" s="79">
        <v>0</v>
      </c>
      <c r="W63" s="79">
        <v>0</v>
      </c>
      <c r="X63" s="79">
        <v>0</v>
      </c>
      <c r="Y63" s="79">
        <v>0</v>
      </c>
      <c r="Z63" s="79">
        <v>0</v>
      </c>
      <c r="AA63" s="79">
        <v>0</v>
      </c>
      <c r="AB63" s="79">
        <v>0</v>
      </c>
      <c r="AC63" s="79">
        <v>0</v>
      </c>
      <c r="AD63" s="79">
        <v>0</v>
      </c>
      <c r="AE63" s="79">
        <v>0</v>
      </c>
      <c r="AF63" s="79">
        <v>0</v>
      </c>
      <c r="AG63" s="79">
        <v>0</v>
      </c>
      <c r="AH63" s="79">
        <v>0</v>
      </c>
      <c r="AI63" s="414">
        <v>36</v>
      </c>
      <c r="AJ63" s="414">
        <v>36</v>
      </c>
      <c r="AK63" s="56" t="s">
        <v>111</v>
      </c>
      <c r="AL63" s="58">
        <v>0</v>
      </c>
      <c r="AM63" s="58">
        <v>0</v>
      </c>
      <c r="AN63" s="58">
        <v>0</v>
      </c>
      <c r="AO63" s="58">
        <v>0</v>
      </c>
      <c r="AP63" s="58">
        <v>3</v>
      </c>
      <c r="AQ63" s="58">
        <v>102863</v>
      </c>
      <c r="AR63" s="58">
        <v>1</v>
      </c>
      <c r="AS63" s="58">
        <v>200002</v>
      </c>
      <c r="AT63" s="58">
        <v>0</v>
      </c>
      <c r="AU63" s="60">
        <v>0</v>
      </c>
      <c r="AV63" s="58">
        <v>0</v>
      </c>
      <c r="AW63" s="58">
        <v>0</v>
      </c>
      <c r="AX63" s="60">
        <v>0</v>
      </c>
      <c r="AY63" s="58">
        <v>0</v>
      </c>
      <c r="AZ63" s="58">
        <v>1</v>
      </c>
      <c r="BA63" s="60"/>
      <c r="BB63" s="58">
        <v>2712</v>
      </c>
      <c r="BC63" s="58">
        <v>0</v>
      </c>
      <c r="BD63" s="58">
        <v>0</v>
      </c>
      <c r="BE63" s="58">
        <v>0</v>
      </c>
      <c r="BF63" s="58">
        <v>1</v>
      </c>
      <c r="BG63" s="60"/>
      <c r="BH63" s="58">
        <v>7359</v>
      </c>
      <c r="BI63" s="58">
        <v>0</v>
      </c>
      <c r="BJ63" s="58">
        <v>0</v>
      </c>
      <c r="BK63" s="58">
        <v>0</v>
      </c>
      <c r="BL63" s="414">
        <v>38</v>
      </c>
      <c r="BM63" s="40"/>
    </row>
    <row r="64" spans="1:65" ht="19.5" customHeight="1" thickBot="1">
      <c r="A64" s="86"/>
      <c r="B64" s="87"/>
      <c r="C64" s="88"/>
      <c r="D64" s="88"/>
      <c r="E64" s="88"/>
      <c r="F64" s="88"/>
      <c r="G64" s="88"/>
      <c r="H64" s="88"/>
      <c r="I64" s="88"/>
      <c r="J64" s="88"/>
      <c r="K64" s="88"/>
      <c r="L64" s="88"/>
      <c r="M64" s="88"/>
      <c r="N64" s="88"/>
      <c r="O64" s="88"/>
      <c r="P64" s="88"/>
      <c r="Q64" s="88"/>
      <c r="R64" s="88"/>
      <c r="S64" s="88"/>
      <c r="T64" s="88"/>
      <c r="U64" s="88"/>
      <c r="V64" s="88"/>
      <c r="W64" s="88"/>
      <c r="X64" s="88"/>
      <c r="Y64" s="88"/>
      <c r="Z64" s="88"/>
      <c r="AA64" s="88"/>
      <c r="AB64" s="88"/>
      <c r="AC64" s="88"/>
      <c r="AD64" s="88"/>
      <c r="AE64" s="88"/>
      <c r="AF64" s="88"/>
      <c r="AG64" s="88"/>
      <c r="AH64" s="88"/>
      <c r="AI64" s="416"/>
      <c r="AJ64" s="86"/>
      <c r="AK64" s="87"/>
      <c r="AL64" s="88"/>
      <c r="AM64" s="88"/>
      <c r="AN64" s="88"/>
      <c r="AO64" s="88"/>
      <c r="AP64" s="88"/>
      <c r="AQ64" s="88"/>
      <c r="AR64" s="88"/>
      <c r="AS64" s="88"/>
      <c r="AT64" s="88"/>
      <c r="AU64" s="89"/>
      <c r="AV64" s="88"/>
      <c r="AW64" s="88"/>
      <c r="AX64" s="89"/>
      <c r="AY64" s="88"/>
      <c r="AZ64" s="88"/>
      <c r="BA64" s="89"/>
      <c r="BB64" s="88"/>
      <c r="BC64" s="88"/>
      <c r="BD64" s="89"/>
      <c r="BE64" s="88"/>
      <c r="BF64" s="88"/>
      <c r="BG64" s="89"/>
      <c r="BH64" s="88"/>
      <c r="BI64" s="88"/>
      <c r="BJ64" s="89"/>
      <c r="BK64" s="88"/>
      <c r="BL64" s="416"/>
      <c r="BM64" s="40"/>
    </row>
    <row r="65" spans="1:65" ht="12">
      <c r="A65" s="90"/>
      <c r="B65" s="91"/>
      <c r="C65" s="33"/>
      <c r="D65" s="33"/>
      <c r="E65" s="33"/>
      <c r="F65" s="34"/>
      <c r="G65" s="33"/>
      <c r="H65" s="34"/>
      <c r="I65" s="33"/>
      <c r="J65" s="34"/>
      <c r="K65" s="33"/>
      <c r="L65" s="34"/>
      <c r="M65" s="33"/>
      <c r="N65" s="34"/>
      <c r="O65" s="33"/>
      <c r="P65" s="34"/>
      <c r="Q65" s="33"/>
      <c r="R65" s="33"/>
      <c r="S65" s="33"/>
      <c r="T65" s="34"/>
      <c r="U65" s="33"/>
      <c r="V65" s="34"/>
      <c r="W65" s="33"/>
      <c r="X65" s="34"/>
      <c r="Y65" s="33"/>
      <c r="Z65" s="34"/>
      <c r="AA65" s="33"/>
      <c r="AB65" s="34"/>
      <c r="AC65" s="33"/>
      <c r="AD65" s="34"/>
      <c r="AE65" s="33"/>
      <c r="AF65" s="34"/>
      <c r="AG65" s="33"/>
      <c r="AH65" s="34"/>
      <c r="AI65" s="90"/>
      <c r="AJ65" s="90"/>
      <c r="AK65" s="91"/>
      <c r="AL65" s="33"/>
      <c r="AM65" s="34"/>
      <c r="AN65" s="33"/>
      <c r="AO65" s="34"/>
      <c r="AP65" s="33"/>
      <c r="AQ65" s="34"/>
      <c r="AR65" s="33"/>
      <c r="AS65" s="34"/>
      <c r="AT65" s="33"/>
      <c r="AU65" s="38"/>
      <c r="AV65" s="34"/>
      <c r="AW65" s="33"/>
      <c r="AX65" s="38"/>
      <c r="AY65" s="34"/>
      <c r="AZ65" s="33"/>
      <c r="BA65" s="39"/>
      <c r="BB65" s="34"/>
      <c r="BC65" s="33"/>
      <c r="BD65" s="39"/>
      <c r="BE65" s="34"/>
      <c r="BF65" s="33"/>
      <c r="BG65" s="39"/>
      <c r="BH65" s="34"/>
      <c r="BI65" s="33"/>
      <c r="BJ65" s="39"/>
      <c r="BK65" s="34"/>
      <c r="BL65" s="90"/>
      <c r="BM65" s="40"/>
    </row>
    <row r="66" spans="1:65" ht="12">
      <c r="A66" s="40"/>
      <c r="B66" s="33"/>
      <c r="C66" s="33"/>
      <c r="D66" s="33"/>
      <c r="E66" s="33"/>
      <c r="F66" s="34"/>
      <c r="G66" s="33"/>
      <c r="H66" s="34"/>
      <c r="I66" s="33"/>
      <c r="J66" s="34"/>
      <c r="K66" s="33"/>
      <c r="L66" s="34"/>
      <c r="M66" s="33"/>
      <c r="N66" s="34"/>
      <c r="P66" s="34"/>
      <c r="Q66" s="33"/>
      <c r="R66" s="33"/>
      <c r="S66" s="33"/>
      <c r="U66" s="33"/>
      <c r="V66" s="34"/>
      <c r="W66" s="33"/>
      <c r="Y66" s="33"/>
      <c r="Z66" s="34"/>
      <c r="AA66" s="33"/>
      <c r="AB66" s="34"/>
      <c r="AC66" s="33"/>
      <c r="AD66" s="34"/>
      <c r="AE66" s="33"/>
      <c r="AF66" s="34"/>
      <c r="AG66" s="33"/>
      <c r="AH66" s="34"/>
      <c r="AK66" s="33"/>
      <c r="AL66" s="33"/>
      <c r="AM66" s="34"/>
      <c r="AN66" s="33"/>
      <c r="AO66" s="34"/>
      <c r="AP66" s="33"/>
      <c r="AQ66" s="34"/>
      <c r="AR66" s="33"/>
      <c r="AS66" s="34"/>
      <c r="AT66" s="33"/>
      <c r="AU66" s="38"/>
      <c r="AV66" s="34"/>
      <c r="AW66" s="33"/>
      <c r="AX66" s="38"/>
      <c r="AY66" s="34"/>
      <c r="AZ66" s="33"/>
      <c r="BA66" s="39"/>
      <c r="BB66" s="34"/>
      <c r="BC66" s="33"/>
      <c r="BD66" s="39"/>
      <c r="BE66" s="34"/>
      <c r="BF66" s="33"/>
      <c r="BG66" s="39"/>
      <c r="BH66" s="34"/>
      <c r="BI66" s="33"/>
      <c r="BJ66" s="39"/>
      <c r="BK66" s="34"/>
      <c r="BL66" s="40"/>
      <c r="BM66" s="40"/>
    </row>
    <row r="67" spans="1:64" ht="12">
      <c r="A67" s="29"/>
      <c r="B67" s="29"/>
      <c r="AI67" s="33"/>
      <c r="AJ67" s="33"/>
      <c r="AK67" s="33"/>
      <c r="BL67" s="33"/>
    </row>
    <row r="68" ht="12">
      <c r="BL68" s="40"/>
    </row>
    <row r="69" ht="12">
      <c r="BL69" s="40"/>
    </row>
    <row r="70" ht="12">
      <c r="BL70" s="40"/>
    </row>
    <row r="71" ht="12">
      <c r="BL71" s="40"/>
    </row>
    <row r="72" ht="12">
      <c r="BL72" s="40"/>
    </row>
  </sheetData>
  <sheetProtection/>
  <mergeCells count="57">
    <mergeCell ref="E5:J5"/>
    <mergeCell ref="M5:N6"/>
    <mergeCell ref="E6:F6"/>
    <mergeCell ref="G6:H6"/>
    <mergeCell ref="I6:J6"/>
    <mergeCell ref="K5:L6"/>
    <mergeCell ref="AW5:AY5"/>
    <mergeCell ref="AZ5:BK5"/>
    <mergeCell ref="BC6:BE6"/>
    <mergeCell ref="BF6:BH6"/>
    <mergeCell ref="BI6:BK6"/>
    <mergeCell ref="AW6:AY6"/>
    <mergeCell ref="AZ6:BB6"/>
    <mergeCell ref="AT6:AV6"/>
    <mergeCell ref="AT5:AV5"/>
    <mergeCell ref="AR6:AS6"/>
    <mergeCell ref="AL5:AM6"/>
    <mergeCell ref="AN5:AO6"/>
    <mergeCell ref="AC6:AD6"/>
    <mergeCell ref="AE6:AF6"/>
    <mergeCell ref="AP5:AS5"/>
    <mergeCell ref="AG6:AH6"/>
    <mergeCell ref="AP6:AQ6"/>
    <mergeCell ref="AG5:AH5"/>
    <mergeCell ref="AJ5:AK7"/>
    <mergeCell ref="Y6:Z6"/>
    <mergeCell ref="AA6:AB6"/>
    <mergeCell ref="S5:X5"/>
    <mergeCell ref="W6:X6"/>
    <mergeCell ref="A59:B59"/>
    <mergeCell ref="AJ59:AK59"/>
    <mergeCell ref="A30:B30"/>
    <mergeCell ref="AJ30:AK30"/>
    <mergeCell ref="A36:B36"/>
    <mergeCell ref="AJ36:AK36"/>
    <mergeCell ref="A50:B50"/>
    <mergeCell ref="AJ50:AK50"/>
    <mergeCell ref="A12:B12"/>
    <mergeCell ref="AJ12:AK12"/>
    <mergeCell ref="A54:B54"/>
    <mergeCell ref="AJ54:AK54"/>
    <mergeCell ref="A20:B20"/>
    <mergeCell ref="AJ20:AK20"/>
    <mergeCell ref="A9:B9"/>
    <mergeCell ref="A10:B10"/>
    <mergeCell ref="AJ10:AK10"/>
    <mergeCell ref="AJ9:AK9"/>
    <mergeCell ref="A5:B7"/>
    <mergeCell ref="C5:D6"/>
    <mergeCell ref="A8:B8"/>
    <mergeCell ref="AJ8:AK8"/>
    <mergeCell ref="Q6:R6"/>
    <mergeCell ref="Y5:AF5"/>
    <mergeCell ref="S6:T6"/>
    <mergeCell ref="U6:V6"/>
    <mergeCell ref="O5:R5"/>
    <mergeCell ref="O6:P6"/>
  </mergeCells>
  <printOptions horizontalCentered="1"/>
  <pageMargins left="0.3937007874015748" right="0.3937007874015748" top="0.7874015748031497" bottom="0.3937007874015748" header="0" footer="0"/>
  <pageSetup horizontalDpi="600" verticalDpi="600" orientation="portrait" paperSize="9" scale="65" r:id="rId1"/>
  <colBreaks count="2" manualBreakCount="2">
    <brk id="14" max="65535" man="1"/>
    <brk id="35" max="65535" man="1"/>
  </colBreaks>
</worksheet>
</file>

<file path=xl/worksheets/sheet3.xml><?xml version="1.0" encoding="utf-8"?>
<worksheet xmlns="http://schemas.openxmlformats.org/spreadsheetml/2006/main" xmlns:r="http://schemas.openxmlformats.org/officeDocument/2006/relationships">
  <dimension ref="A1:BO71"/>
  <sheetViews>
    <sheetView view="pageBreakPreview" zoomScaleSheetLayoutView="100" zoomScalePageLayoutView="0" workbookViewId="0" topLeftCell="A1">
      <pane xSplit="2" ySplit="4" topLeftCell="R59" activePane="bottomRight" state="frozen"/>
      <selection pane="topLeft" activeCell="P47" sqref="P47"/>
      <selection pane="topRight" activeCell="P47" sqref="P47"/>
      <selection pane="bottomLeft" activeCell="P47" sqref="P47"/>
      <selection pane="bottomRight" activeCell="P47" sqref="P47"/>
    </sheetView>
  </sheetViews>
  <sheetFormatPr defaultColWidth="9.00390625" defaultRowHeight="13.5"/>
  <cols>
    <col min="1" max="1" width="5.625" style="101" customWidth="1"/>
    <col min="2" max="2" width="14.625" style="165" customWidth="1"/>
    <col min="3" max="3" width="5.625" style="101" customWidth="1"/>
    <col min="4" max="4" width="14.625" style="166" customWidth="1"/>
    <col min="5" max="5" width="5.625" style="101" customWidth="1"/>
    <col min="6" max="6" width="14.625" style="166" customWidth="1"/>
    <col min="7" max="7" width="5.625" style="101" customWidth="1"/>
    <col min="8" max="8" width="14.625" style="166" customWidth="1"/>
    <col min="9" max="9" width="5.625" style="101" customWidth="1"/>
    <col min="10" max="10" width="14.625" style="166" customWidth="1"/>
    <col min="11" max="11" width="5.625" style="101" customWidth="1"/>
    <col min="12" max="12" width="14.625" style="167" customWidth="1"/>
    <col min="13" max="13" width="5.625" style="101" customWidth="1"/>
    <col min="14" max="14" width="12.625" style="166" customWidth="1"/>
    <col min="15" max="15" width="5.625" style="101" customWidth="1"/>
    <col min="16" max="16" width="12.625" style="167" customWidth="1"/>
    <col min="17" max="17" width="5.625" style="101" customWidth="1"/>
    <col min="18" max="18" width="12.625" style="167" customWidth="1"/>
    <col min="19" max="19" width="5.625" style="101" customWidth="1"/>
    <col min="20" max="20" width="12.625" style="167" customWidth="1"/>
    <col min="21" max="21" width="5.875" style="101" customWidth="1"/>
    <col min="22" max="22" width="12.625" style="166" customWidth="1"/>
    <col min="23" max="23" width="5.125" style="101" customWidth="1"/>
    <col min="24" max="24" width="10.625" style="167" customWidth="1"/>
    <col min="25" max="25" width="5.625" style="101" customWidth="1"/>
    <col min="26" max="26" width="12.625" style="167" customWidth="1"/>
    <col min="27" max="27" width="5.125" style="101" customWidth="1"/>
    <col min="28" max="28" width="11.625" style="167" customWidth="1"/>
    <col min="29" max="29" width="5.125" style="101" customWidth="1"/>
    <col min="30" max="30" width="12.625" style="167" customWidth="1"/>
    <col min="31" max="31" width="3.625" style="44" customWidth="1"/>
    <col min="32" max="33" width="9.00390625" style="164" customWidth="1"/>
    <col min="34" max="16384" width="9.00390625" style="101" customWidth="1"/>
  </cols>
  <sheetData>
    <row r="1" spans="1:33" ht="20.25" customHeight="1">
      <c r="A1" s="417" t="s">
        <v>113</v>
      </c>
      <c r="B1" s="93"/>
      <c r="C1" s="94"/>
      <c r="D1" s="95"/>
      <c r="E1" s="90"/>
      <c r="F1" s="96"/>
      <c r="G1" s="90"/>
      <c r="H1" s="96"/>
      <c r="I1" s="94"/>
      <c r="J1" s="97"/>
      <c r="K1" s="94"/>
      <c r="L1" s="98"/>
      <c r="M1" s="94"/>
      <c r="N1" s="97"/>
      <c r="O1" s="94"/>
      <c r="P1" s="98"/>
      <c r="Q1" s="94"/>
      <c r="R1" s="98"/>
      <c r="S1" s="94"/>
      <c r="T1" s="98"/>
      <c r="U1" s="94"/>
      <c r="V1" s="97"/>
      <c r="W1" s="94"/>
      <c r="X1" s="98"/>
      <c r="Y1" s="94"/>
      <c r="Z1" s="98"/>
      <c r="AA1" s="94"/>
      <c r="AB1" s="98"/>
      <c r="AC1" s="94"/>
      <c r="AD1" s="98"/>
      <c r="AE1" s="99"/>
      <c r="AF1" s="100"/>
      <c r="AG1" s="100"/>
    </row>
    <row r="2" spans="1:33" ht="14.25" thickBot="1">
      <c r="A2" s="41" t="s">
        <v>37</v>
      </c>
      <c r="B2" s="90"/>
      <c r="C2" s="91"/>
      <c r="D2" s="102"/>
      <c r="E2" s="91"/>
      <c r="F2" s="103"/>
      <c r="G2" s="91"/>
      <c r="H2" s="102"/>
      <c r="I2" s="104"/>
      <c r="J2" s="105"/>
      <c r="K2" s="94"/>
      <c r="L2" s="98"/>
      <c r="M2" s="106"/>
      <c r="N2" s="107"/>
      <c r="O2" s="106"/>
      <c r="P2" s="108"/>
      <c r="Q2" s="106"/>
      <c r="R2" s="108"/>
      <c r="S2" s="106"/>
      <c r="T2" s="108"/>
      <c r="U2" s="106"/>
      <c r="V2" s="107"/>
      <c r="W2" s="106"/>
      <c r="X2" s="108"/>
      <c r="Y2" s="106"/>
      <c r="Z2" s="108"/>
      <c r="AA2" s="94"/>
      <c r="AB2" s="108"/>
      <c r="AC2" s="94"/>
      <c r="AD2" s="108"/>
      <c r="AE2" s="109" t="s">
        <v>114</v>
      </c>
      <c r="AF2" s="100"/>
      <c r="AG2" s="100"/>
    </row>
    <row r="3" spans="1:61" s="113" customFormat="1" ht="27" customHeight="1">
      <c r="A3" s="557" t="s">
        <v>39</v>
      </c>
      <c r="B3" s="558"/>
      <c r="C3" s="554" t="s">
        <v>250</v>
      </c>
      <c r="D3" s="556"/>
      <c r="E3" s="554" t="s">
        <v>251</v>
      </c>
      <c r="F3" s="556"/>
      <c r="G3" s="554" t="s">
        <v>252</v>
      </c>
      <c r="H3" s="556"/>
      <c r="I3" s="554" t="s">
        <v>253</v>
      </c>
      <c r="J3" s="556"/>
      <c r="K3" s="554" t="s">
        <v>254</v>
      </c>
      <c r="L3" s="556"/>
      <c r="M3" s="554" t="s">
        <v>255</v>
      </c>
      <c r="N3" s="556"/>
      <c r="O3" s="554" t="s">
        <v>256</v>
      </c>
      <c r="P3" s="556"/>
      <c r="Q3" s="554" t="s">
        <v>115</v>
      </c>
      <c r="R3" s="556"/>
      <c r="S3" s="554" t="s">
        <v>257</v>
      </c>
      <c r="T3" s="556"/>
      <c r="U3" s="554" t="s">
        <v>275</v>
      </c>
      <c r="V3" s="556"/>
      <c r="W3" s="554" t="s">
        <v>258</v>
      </c>
      <c r="X3" s="556"/>
      <c r="Y3" s="554" t="s">
        <v>259</v>
      </c>
      <c r="Z3" s="556"/>
      <c r="AA3" s="554" t="s">
        <v>112</v>
      </c>
      <c r="AB3" s="562"/>
      <c r="AC3" s="554" t="s">
        <v>116</v>
      </c>
      <c r="AD3" s="555"/>
      <c r="AE3" s="110"/>
      <c r="AF3" s="111"/>
      <c r="AG3" s="111"/>
      <c r="AH3" s="112"/>
      <c r="AI3" s="112"/>
      <c r="AJ3" s="112"/>
      <c r="AK3" s="112"/>
      <c r="AL3" s="112"/>
      <c r="AM3" s="112"/>
      <c r="AN3" s="112"/>
      <c r="AO3" s="112"/>
      <c r="AP3" s="112"/>
      <c r="AQ3" s="112"/>
      <c r="AR3" s="112"/>
      <c r="AS3" s="112"/>
      <c r="AT3" s="112"/>
      <c r="AU3" s="112"/>
      <c r="AV3" s="112"/>
      <c r="AW3" s="112"/>
      <c r="AX3" s="112"/>
      <c r="AY3" s="112"/>
      <c r="AZ3" s="112"/>
      <c r="BA3" s="112"/>
      <c r="BB3" s="112"/>
      <c r="BC3" s="112"/>
      <c r="BD3" s="112"/>
      <c r="BE3" s="112"/>
      <c r="BF3" s="112"/>
      <c r="BG3" s="112"/>
      <c r="BH3" s="112"/>
      <c r="BI3" s="112"/>
    </row>
    <row r="4" spans="1:67" s="113" customFormat="1" ht="14.25" customHeight="1" thickBot="1">
      <c r="A4" s="559"/>
      <c r="B4" s="560"/>
      <c r="C4" s="114" t="s">
        <v>65</v>
      </c>
      <c r="D4" s="115" t="s">
        <v>117</v>
      </c>
      <c r="E4" s="114" t="s">
        <v>65</v>
      </c>
      <c r="F4" s="115" t="s">
        <v>117</v>
      </c>
      <c r="G4" s="114" t="s">
        <v>65</v>
      </c>
      <c r="H4" s="115" t="s">
        <v>117</v>
      </c>
      <c r="I4" s="114" t="s">
        <v>65</v>
      </c>
      <c r="J4" s="115" t="s">
        <v>117</v>
      </c>
      <c r="K4" s="114" t="s">
        <v>65</v>
      </c>
      <c r="L4" s="116" t="s">
        <v>117</v>
      </c>
      <c r="M4" s="114" t="s">
        <v>65</v>
      </c>
      <c r="N4" s="115" t="s">
        <v>117</v>
      </c>
      <c r="O4" s="114" t="s">
        <v>65</v>
      </c>
      <c r="P4" s="116" t="s">
        <v>117</v>
      </c>
      <c r="Q4" s="117" t="s">
        <v>65</v>
      </c>
      <c r="R4" s="118" t="s">
        <v>117</v>
      </c>
      <c r="S4" s="114" t="s">
        <v>65</v>
      </c>
      <c r="T4" s="118" t="s">
        <v>117</v>
      </c>
      <c r="U4" s="114" t="s">
        <v>65</v>
      </c>
      <c r="V4" s="115" t="s">
        <v>117</v>
      </c>
      <c r="W4" s="114" t="s">
        <v>65</v>
      </c>
      <c r="X4" s="118" t="s">
        <v>117</v>
      </c>
      <c r="Y4" s="114" t="s">
        <v>65</v>
      </c>
      <c r="Z4" s="118" t="s">
        <v>117</v>
      </c>
      <c r="AA4" s="114" t="s">
        <v>65</v>
      </c>
      <c r="AB4" s="118" t="s">
        <v>117</v>
      </c>
      <c r="AC4" s="114" t="s">
        <v>65</v>
      </c>
      <c r="AD4" s="119" t="s">
        <v>117</v>
      </c>
      <c r="AE4" s="120"/>
      <c r="AF4" s="111"/>
      <c r="AG4" s="111"/>
      <c r="AH4" s="112"/>
      <c r="AI4" s="112"/>
      <c r="AJ4" s="112"/>
      <c r="AK4" s="112"/>
      <c r="AL4" s="112"/>
      <c r="AM4" s="112"/>
      <c r="AN4" s="112"/>
      <c r="AO4" s="112"/>
      <c r="AP4" s="112"/>
      <c r="AQ4" s="112"/>
      <c r="AR4" s="112"/>
      <c r="AS4" s="112"/>
      <c r="AT4" s="112"/>
      <c r="AU4" s="112"/>
      <c r="AV4" s="112"/>
      <c r="AW4" s="112"/>
      <c r="AX4" s="112"/>
      <c r="AY4" s="112"/>
      <c r="AZ4" s="112"/>
      <c r="BA4" s="112"/>
      <c r="BB4" s="112"/>
      <c r="BC4" s="112"/>
      <c r="BD4" s="112"/>
      <c r="BE4" s="112"/>
      <c r="BF4" s="112"/>
      <c r="BG4" s="112"/>
      <c r="BH4" s="112"/>
      <c r="BI4" s="112"/>
      <c r="BJ4" s="121"/>
      <c r="BL4" s="122"/>
      <c r="BM4" s="122"/>
      <c r="BO4" s="122"/>
    </row>
    <row r="5" spans="1:61" ht="20.25" customHeight="1">
      <c r="A5" s="535" t="s">
        <v>69</v>
      </c>
      <c r="B5" s="536"/>
      <c r="C5" s="123">
        <v>263</v>
      </c>
      <c r="D5" s="123">
        <v>1536286.092</v>
      </c>
      <c r="E5" s="124">
        <v>163</v>
      </c>
      <c r="F5" s="124">
        <v>1139268</v>
      </c>
      <c r="G5" s="124">
        <v>12</v>
      </c>
      <c r="H5" s="124">
        <v>90321</v>
      </c>
      <c r="I5" s="124">
        <v>1</v>
      </c>
      <c r="J5" s="124">
        <v>9030</v>
      </c>
      <c r="K5" s="123">
        <v>6</v>
      </c>
      <c r="L5" s="124">
        <v>42609</v>
      </c>
      <c r="M5" s="124">
        <v>26</v>
      </c>
      <c r="N5" s="124">
        <v>68785.5</v>
      </c>
      <c r="O5" s="123">
        <v>24</v>
      </c>
      <c r="P5" s="124">
        <v>56343</v>
      </c>
      <c r="Q5" s="125">
        <v>5</v>
      </c>
      <c r="R5" s="126">
        <v>64984.5</v>
      </c>
      <c r="S5" s="123">
        <v>7</v>
      </c>
      <c r="T5" s="126">
        <v>33295.5</v>
      </c>
      <c r="U5" s="124">
        <v>1</v>
      </c>
      <c r="V5" s="124">
        <v>15918</v>
      </c>
      <c r="W5" s="123">
        <v>1</v>
      </c>
      <c r="X5" s="126">
        <v>6362.138</v>
      </c>
      <c r="Y5" s="123">
        <v>7</v>
      </c>
      <c r="Z5" s="126">
        <v>1315.954</v>
      </c>
      <c r="AA5" s="123">
        <v>10</v>
      </c>
      <c r="AB5" s="126">
        <v>8053.5</v>
      </c>
      <c r="AC5" s="123">
        <v>0</v>
      </c>
      <c r="AD5" s="127">
        <v>0</v>
      </c>
      <c r="AE5" s="418" t="s">
        <v>260</v>
      </c>
      <c r="AF5" s="100"/>
      <c r="AG5" s="100"/>
      <c r="AH5" s="128"/>
      <c r="AI5" s="128"/>
      <c r="AJ5" s="128"/>
      <c r="AK5" s="128"/>
      <c r="AL5" s="128"/>
      <c r="AM5" s="128"/>
      <c r="AN5" s="128"/>
      <c r="AO5" s="128"/>
      <c r="AP5" s="128"/>
      <c r="AQ5" s="128"/>
      <c r="AR5" s="128"/>
      <c r="AS5" s="128"/>
      <c r="AT5" s="128"/>
      <c r="AU5" s="128"/>
      <c r="AV5" s="128"/>
      <c r="AW5" s="128"/>
      <c r="AX5" s="128"/>
      <c r="AY5" s="128"/>
      <c r="AZ5" s="128"/>
      <c r="BA5" s="128"/>
      <c r="BB5" s="128"/>
      <c r="BC5" s="128"/>
      <c r="BD5" s="128"/>
      <c r="BE5" s="128"/>
      <c r="BF5" s="128"/>
      <c r="BG5" s="128"/>
      <c r="BH5" s="128"/>
      <c r="BI5" s="128"/>
    </row>
    <row r="6" spans="1:61" ht="20.25" customHeight="1">
      <c r="A6" s="535" t="s">
        <v>70</v>
      </c>
      <c r="B6" s="561"/>
      <c r="C6" s="123">
        <v>271</v>
      </c>
      <c r="D6" s="125">
        <v>1559595</v>
      </c>
      <c r="E6" s="124">
        <v>180</v>
      </c>
      <c r="F6" s="124">
        <v>1272521</v>
      </c>
      <c r="G6" s="124">
        <v>1</v>
      </c>
      <c r="H6" s="124">
        <v>1995</v>
      </c>
      <c r="I6" s="124">
        <v>0</v>
      </c>
      <c r="J6" s="124">
        <v>0</v>
      </c>
      <c r="K6" s="123">
        <v>0</v>
      </c>
      <c r="L6" s="124">
        <v>0</v>
      </c>
      <c r="M6" s="124">
        <v>20</v>
      </c>
      <c r="N6" s="124">
        <v>62030</v>
      </c>
      <c r="O6" s="123">
        <v>48</v>
      </c>
      <c r="P6" s="124">
        <v>135762</v>
      </c>
      <c r="Q6" s="125">
        <v>0</v>
      </c>
      <c r="R6" s="126">
        <v>0</v>
      </c>
      <c r="S6" s="123">
        <v>10</v>
      </c>
      <c r="T6" s="126">
        <v>46087</v>
      </c>
      <c r="U6" s="124">
        <v>1</v>
      </c>
      <c r="V6" s="124">
        <v>8463</v>
      </c>
      <c r="W6" s="123">
        <v>1</v>
      </c>
      <c r="X6" s="126">
        <v>858</v>
      </c>
      <c r="Y6" s="123"/>
      <c r="Z6" s="126"/>
      <c r="AA6" s="123">
        <v>5</v>
      </c>
      <c r="AB6" s="126">
        <v>2174</v>
      </c>
      <c r="AC6" s="123">
        <v>5</v>
      </c>
      <c r="AD6" s="126">
        <v>29705</v>
      </c>
      <c r="AE6" s="418" t="s">
        <v>35</v>
      </c>
      <c r="AF6" s="100"/>
      <c r="AG6" s="100"/>
      <c r="AH6" s="128"/>
      <c r="AI6" s="128"/>
      <c r="AJ6" s="128"/>
      <c r="AK6" s="128"/>
      <c r="AL6" s="128"/>
      <c r="AM6" s="128"/>
      <c r="AN6" s="128"/>
      <c r="AO6" s="128"/>
      <c r="AP6" s="128"/>
      <c r="AQ6" s="128"/>
      <c r="AR6" s="128"/>
      <c r="AS6" s="128"/>
      <c r="AT6" s="128"/>
      <c r="AU6" s="128"/>
      <c r="AV6" s="128"/>
      <c r="AW6" s="128"/>
      <c r="AX6" s="128"/>
      <c r="AY6" s="128"/>
      <c r="AZ6" s="128"/>
      <c r="BA6" s="128"/>
      <c r="BB6" s="128"/>
      <c r="BC6" s="128"/>
      <c r="BD6" s="128"/>
      <c r="BE6" s="128"/>
      <c r="BF6" s="128"/>
      <c r="BG6" s="128"/>
      <c r="BH6" s="128"/>
      <c r="BI6" s="128"/>
    </row>
    <row r="7" spans="1:61" s="133" customFormat="1" ht="20.25" customHeight="1" thickBot="1">
      <c r="A7" s="565" t="s">
        <v>279</v>
      </c>
      <c r="B7" s="566"/>
      <c r="C7" s="129">
        <f aca="true" t="shared" si="0" ref="C7:D14">+E7+G7+I7+K7+M7+O7+Q7+S7+U7+W7+Y7+AA7+AC7</f>
        <v>264</v>
      </c>
      <c r="D7" s="130">
        <f t="shared" si="0"/>
        <v>1481710</v>
      </c>
      <c r="E7" s="129">
        <f aca="true" t="shared" si="1" ref="E7:AD7">E8+E16+E26+E46+E62</f>
        <v>205</v>
      </c>
      <c r="F7" s="129">
        <f t="shared" si="1"/>
        <v>1171238</v>
      </c>
      <c r="G7" s="129">
        <f t="shared" si="1"/>
        <v>2</v>
      </c>
      <c r="H7" s="129">
        <f t="shared" si="1"/>
        <v>11377</v>
      </c>
      <c r="I7" s="129">
        <f t="shared" si="1"/>
        <v>0</v>
      </c>
      <c r="J7" s="129">
        <f t="shared" si="1"/>
        <v>0</v>
      </c>
      <c r="K7" s="129">
        <f t="shared" si="1"/>
        <v>3</v>
      </c>
      <c r="L7" s="129">
        <f t="shared" si="1"/>
        <v>18995</v>
      </c>
      <c r="M7" s="129">
        <f t="shared" si="1"/>
        <v>23</v>
      </c>
      <c r="N7" s="129">
        <f t="shared" si="1"/>
        <v>192556</v>
      </c>
      <c r="O7" s="129">
        <f t="shared" si="1"/>
        <v>24</v>
      </c>
      <c r="P7" s="129">
        <f t="shared" si="1"/>
        <v>69820</v>
      </c>
      <c r="Q7" s="129">
        <f t="shared" si="1"/>
        <v>0</v>
      </c>
      <c r="R7" s="129">
        <f t="shared" si="1"/>
        <v>0</v>
      </c>
      <c r="S7" s="129">
        <f t="shared" si="1"/>
        <v>0</v>
      </c>
      <c r="T7" s="129">
        <f t="shared" si="1"/>
        <v>0</v>
      </c>
      <c r="U7" s="129">
        <f t="shared" si="1"/>
        <v>1</v>
      </c>
      <c r="V7" s="129">
        <f t="shared" si="1"/>
        <v>8715</v>
      </c>
      <c r="W7" s="129">
        <f t="shared" si="1"/>
        <v>0</v>
      </c>
      <c r="X7" s="129">
        <f t="shared" si="1"/>
        <v>0</v>
      </c>
      <c r="Y7" s="129">
        <f t="shared" si="1"/>
        <v>0</v>
      </c>
      <c r="Z7" s="129">
        <f t="shared" si="1"/>
        <v>0</v>
      </c>
      <c r="AA7" s="129">
        <f t="shared" si="1"/>
        <v>5</v>
      </c>
      <c r="AB7" s="129">
        <f t="shared" si="1"/>
        <v>3906</v>
      </c>
      <c r="AC7" s="129">
        <f t="shared" si="1"/>
        <v>1</v>
      </c>
      <c r="AD7" s="129">
        <f t="shared" si="1"/>
        <v>5103</v>
      </c>
      <c r="AE7" s="419" t="s">
        <v>261</v>
      </c>
      <c r="AF7" s="131"/>
      <c r="AG7" s="131"/>
      <c r="AH7" s="132"/>
      <c r="AI7" s="132"/>
      <c r="AJ7" s="132"/>
      <c r="AK7" s="132"/>
      <c r="AL7" s="132"/>
      <c r="AM7" s="132"/>
      <c r="AN7" s="132"/>
      <c r="AO7" s="132"/>
      <c r="AP7" s="132"/>
      <c r="AQ7" s="132"/>
      <c r="AR7" s="132"/>
      <c r="AS7" s="132"/>
      <c r="AT7" s="132"/>
      <c r="AU7" s="132"/>
      <c r="AV7" s="132"/>
      <c r="AW7" s="132"/>
      <c r="AX7" s="132"/>
      <c r="AY7" s="132"/>
      <c r="AZ7" s="132"/>
      <c r="BA7" s="132"/>
      <c r="BB7" s="132"/>
      <c r="BC7" s="132"/>
      <c r="BD7" s="132"/>
      <c r="BE7" s="132"/>
      <c r="BF7" s="132"/>
      <c r="BG7" s="132"/>
      <c r="BH7" s="132"/>
      <c r="BI7" s="132"/>
    </row>
    <row r="8" spans="1:61" s="133" customFormat="1" ht="20.25" customHeight="1">
      <c r="A8" s="134" t="s">
        <v>71</v>
      </c>
      <c r="B8" s="135"/>
      <c r="C8" s="136">
        <f t="shared" si="0"/>
        <v>34</v>
      </c>
      <c r="D8" s="137">
        <f t="shared" si="0"/>
        <v>227070</v>
      </c>
      <c r="E8" s="136">
        <f aca="true" t="shared" si="2" ref="E8:AC8">+E9</f>
        <v>26</v>
      </c>
      <c r="F8" s="136">
        <f t="shared" si="2"/>
        <v>197808</v>
      </c>
      <c r="G8" s="136">
        <f t="shared" si="2"/>
        <v>1</v>
      </c>
      <c r="H8" s="136">
        <f>+H9</f>
        <v>9135</v>
      </c>
      <c r="I8" s="136">
        <f t="shared" si="2"/>
        <v>0</v>
      </c>
      <c r="J8" s="136">
        <f>+J9</f>
        <v>0</v>
      </c>
      <c r="K8" s="136">
        <f t="shared" si="2"/>
        <v>0</v>
      </c>
      <c r="L8" s="136">
        <f>+L9</f>
        <v>0</v>
      </c>
      <c r="M8" s="136">
        <f t="shared" si="2"/>
        <v>2</v>
      </c>
      <c r="N8" s="136">
        <f>+N9</f>
        <v>10216</v>
      </c>
      <c r="O8" s="136">
        <f t="shared" si="2"/>
        <v>4</v>
      </c>
      <c r="P8" s="136">
        <f>+P9</f>
        <v>9701</v>
      </c>
      <c r="Q8" s="136">
        <f t="shared" si="2"/>
        <v>0</v>
      </c>
      <c r="R8" s="136">
        <f>+R9</f>
        <v>0</v>
      </c>
      <c r="S8" s="136">
        <f t="shared" si="2"/>
        <v>0</v>
      </c>
      <c r="T8" s="136">
        <f>+T9</f>
        <v>0</v>
      </c>
      <c r="U8" s="136">
        <f t="shared" si="2"/>
        <v>0</v>
      </c>
      <c r="V8" s="136">
        <f>+V9</f>
        <v>0</v>
      </c>
      <c r="W8" s="136">
        <f t="shared" si="2"/>
        <v>0</v>
      </c>
      <c r="X8" s="136">
        <f>+X9</f>
        <v>0</v>
      </c>
      <c r="Y8" s="136">
        <f t="shared" si="2"/>
        <v>0</v>
      </c>
      <c r="Z8" s="136">
        <f>+Z9</f>
        <v>0</v>
      </c>
      <c r="AA8" s="136">
        <f t="shared" si="2"/>
        <v>1</v>
      </c>
      <c r="AB8" s="136">
        <f>+AB9</f>
        <v>210</v>
      </c>
      <c r="AC8" s="136">
        <f t="shared" si="2"/>
        <v>0</v>
      </c>
      <c r="AD8" s="136">
        <f>+AD9</f>
        <v>0</v>
      </c>
      <c r="AE8" s="420"/>
      <c r="AF8" s="131"/>
      <c r="AG8" s="131"/>
      <c r="AH8" s="132"/>
      <c r="AI8" s="132"/>
      <c r="AJ8" s="132"/>
      <c r="AK8" s="132"/>
      <c r="AL8" s="132"/>
      <c r="AM8" s="132"/>
      <c r="AN8" s="132"/>
      <c r="AO8" s="132"/>
      <c r="AP8" s="132"/>
      <c r="AQ8" s="132"/>
      <c r="AR8" s="132"/>
      <c r="AS8" s="132"/>
      <c r="AT8" s="132"/>
      <c r="AU8" s="132"/>
      <c r="AV8" s="132"/>
      <c r="AW8" s="132"/>
      <c r="AX8" s="132"/>
      <c r="AY8" s="132"/>
      <c r="AZ8" s="132"/>
      <c r="BA8" s="132"/>
      <c r="BB8" s="132"/>
      <c r="BC8" s="132"/>
      <c r="BD8" s="132"/>
      <c r="BE8" s="132"/>
      <c r="BF8" s="132"/>
      <c r="BG8" s="132"/>
      <c r="BH8" s="132"/>
      <c r="BI8" s="132"/>
    </row>
    <row r="9" spans="1:61" s="133" customFormat="1" ht="20.25" customHeight="1">
      <c r="A9" s="537" t="s">
        <v>277</v>
      </c>
      <c r="B9" s="538"/>
      <c r="C9" s="129">
        <f t="shared" si="0"/>
        <v>34</v>
      </c>
      <c r="D9" s="138">
        <f t="shared" si="0"/>
        <v>227070</v>
      </c>
      <c r="E9" s="129">
        <f aca="true" t="shared" si="3" ref="E9:AD9">SUM(E10:E14)</f>
        <v>26</v>
      </c>
      <c r="F9" s="129">
        <f t="shared" si="3"/>
        <v>197808</v>
      </c>
      <c r="G9" s="129">
        <f t="shared" si="3"/>
        <v>1</v>
      </c>
      <c r="H9" s="129">
        <f t="shared" si="3"/>
        <v>9135</v>
      </c>
      <c r="I9" s="129">
        <f t="shared" si="3"/>
        <v>0</v>
      </c>
      <c r="J9" s="129">
        <f t="shared" si="3"/>
        <v>0</v>
      </c>
      <c r="K9" s="129">
        <f t="shared" si="3"/>
        <v>0</v>
      </c>
      <c r="L9" s="129">
        <f t="shared" si="3"/>
        <v>0</v>
      </c>
      <c r="M9" s="129">
        <f t="shared" si="3"/>
        <v>2</v>
      </c>
      <c r="N9" s="129">
        <f t="shared" si="3"/>
        <v>10216</v>
      </c>
      <c r="O9" s="129">
        <f t="shared" si="3"/>
        <v>4</v>
      </c>
      <c r="P9" s="129">
        <f t="shared" si="3"/>
        <v>9701</v>
      </c>
      <c r="Q9" s="129">
        <f t="shared" si="3"/>
        <v>0</v>
      </c>
      <c r="R9" s="129">
        <f t="shared" si="3"/>
        <v>0</v>
      </c>
      <c r="S9" s="129">
        <f t="shared" si="3"/>
        <v>0</v>
      </c>
      <c r="T9" s="129">
        <f t="shared" si="3"/>
        <v>0</v>
      </c>
      <c r="U9" s="129">
        <f t="shared" si="3"/>
        <v>0</v>
      </c>
      <c r="V9" s="129">
        <f t="shared" si="3"/>
        <v>0</v>
      </c>
      <c r="W9" s="129">
        <f t="shared" si="3"/>
        <v>0</v>
      </c>
      <c r="X9" s="129">
        <f t="shared" si="3"/>
        <v>0</v>
      </c>
      <c r="Y9" s="129">
        <f t="shared" si="3"/>
        <v>0</v>
      </c>
      <c r="Z9" s="129">
        <f t="shared" si="3"/>
        <v>0</v>
      </c>
      <c r="AA9" s="129">
        <f t="shared" si="3"/>
        <v>1</v>
      </c>
      <c r="AB9" s="129">
        <f t="shared" si="3"/>
        <v>210</v>
      </c>
      <c r="AC9" s="129">
        <f t="shared" si="3"/>
        <v>0</v>
      </c>
      <c r="AD9" s="129">
        <f t="shared" si="3"/>
        <v>0</v>
      </c>
      <c r="AE9" s="419"/>
      <c r="AF9" s="131"/>
      <c r="AG9" s="131"/>
      <c r="AH9" s="132"/>
      <c r="AI9" s="132"/>
      <c r="AJ9" s="132"/>
      <c r="AK9" s="132"/>
      <c r="AL9" s="132"/>
      <c r="AM9" s="132"/>
      <c r="AN9" s="132"/>
      <c r="AO9" s="132"/>
      <c r="AP9" s="132"/>
      <c r="AQ9" s="132"/>
      <c r="AR9" s="132"/>
      <c r="AS9" s="132"/>
      <c r="AT9" s="132"/>
      <c r="AU9" s="132"/>
      <c r="AV9" s="132"/>
      <c r="AW9" s="132"/>
      <c r="AX9" s="132"/>
      <c r="AY9" s="132"/>
      <c r="AZ9" s="132"/>
      <c r="BA9" s="132"/>
      <c r="BB9" s="132"/>
      <c r="BC9" s="132"/>
      <c r="BD9" s="132"/>
      <c r="BE9" s="132"/>
      <c r="BF9" s="132"/>
      <c r="BG9" s="132"/>
      <c r="BH9" s="132"/>
      <c r="BI9" s="132"/>
    </row>
    <row r="10" spans="1:33" s="104" customFormat="1" ht="20.25" customHeight="1">
      <c r="A10" s="77">
        <v>1</v>
      </c>
      <c r="B10" s="56" t="s">
        <v>72</v>
      </c>
      <c r="C10" s="129">
        <f t="shared" si="0"/>
        <v>10</v>
      </c>
      <c r="D10" s="138">
        <f t="shared" si="0"/>
        <v>74496</v>
      </c>
      <c r="E10" s="139">
        <v>7</v>
      </c>
      <c r="F10" s="140">
        <v>61456</v>
      </c>
      <c r="G10" s="124">
        <v>0</v>
      </c>
      <c r="H10" s="123">
        <v>0</v>
      </c>
      <c r="I10" s="123">
        <v>0</v>
      </c>
      <c r="J10" s="123">
        <v>0</v>
      </c>
      <c r="K10" s="123">
        <v>0</v>
      </c>
      <c r="L10" s="123">
        <v>0</v>
      </c>
      <c r="M10" s="123">
        <v>1</v>
      </c>
      <c r="N10" s="123">
        <v>9313</v>
      </c>
      <c r="O10" s="123">
        <v>2</v>
      </c>
      <c r="P10" s="123">
        <v>3727</v>
      </c>
      <c r="Q10" s="123">
        <v>0</v>
      </c>
      <c r="R10" s="123">
        <v>0</v>
      </c>
      <c r="S10" s="123">
        <v>0</v>
      </c>
      <c r="T10" s="123">
        <v>0</v>
      </c>
      <c r="U10" s="141">
        <v>0</v>
      </c>
      <c r="V10" s="141">
        <v>0</v>
      </c>
      <c r="W10" s="123">
        <v>0</v>
      </c>
      <c r="X10" s="123">
        <v>0</v>
      </c>
      <c r="Y10" s="123">
        <v>0</v>
      </c>
      <c r="Z10" s="123">
        <v>0</v>
      </c>
      <c r="AA10" s="123">
        <v>0</v>
      </c>
      <c r="AB10" s="142">
        <v>0</v>
      </c>
      <c r="AC10" s="123">
        <v>0</v>
      </c>
      <c r="AD10" s="123">
        <v>0</v>
      </c>
      <c r="AE10" s="418">
        <v>1</v>
      </c>
      <c r="AF10" s="144"/>
      <c r="AG10" s="144"/>
    </row>
    <row r="11" spans="1:33" s="128" customFormat="1" ht="20.25" customHeight="1">
      <c r="A11" s="77">
        <v>2</v>
      </c>
      <c r="B11" s="56" t="s">
        <v>73</v>
      </c>
      <c r="C11" s="129">
        <f t="shared" si="0"/>
        <v>3</v>
      </c>
      <c r="D11" s="138">
        <f t="shared" si="0"/>
        <v>31531</v>
      </c>
      <c r="E11" s="139">
        <v>2</v>
      </c>
      <c r="F11" s="140">
        <v>27520</v>
      </c>
      <c r="G11" s="124">
        <v>0</v>
      </c>
      <c r="H11" s="123">
        <v>0</v>
      </c>
      <c r="I11" s="123">
        <v>0</v>
      </c>
      <c r="J11" s="123">
        <v>0</v>
      </c>
      <c r="K11" s="123">
        <v>0</v>
      </c>
      <c r="L11" s="123">
        <v>0</v>
      </c>
      <c r="M11" s="123">
        <v>0</v>
      </c>
      <c r="N11" s="123">
        <v>0</v>
      </c>
      <c r="O11" s="123">
        <v>1</v>
      </c>
      <c r="P11" s="123">
        <v>4011</v>
      </c>
      <c r="Q11" s="123">
        <v>0</v>
      </c>
      <c r="R11" s="123">
        <v>0</v>
      </c>
      <c r="S11" s="123">
        <v>0</v>
      </c>
      <c r="T11" s="123">
        <v>0</v>
      </c>
      <c r="U11" s="141">
        <v>0</v>
      </c>
      <c r="V11" s="141">
        <v>0</v>
      </c>
      <c r="W11" s="123">
        <v>0</v>
      </c>
      <c r="X11" s="123">
        <v>0</v>
      </c>
      <c r="Y11" s="123">
        <v>0</v>
      </c>
      <c r="Z11" s="123">
        <v>0</v>
      </c>
      <c r="AA11" s="123">
        <v>0</v>
      </c>
      <c r="AB11" s="123">
        <v>0</v>
      </c>
      <c r="AC11" s="123">
        <v>0</v>
      </c>
      <c r="AD11" s="123">
        <v>0</v>
      </c>
      <c r="AE11" s="418">
        <v>2</v>
      </c>
      <c r="AF11" s="144"/>
      <c r="AG11" s="144"/>
    </row>
    <row r="12" spans="1:33" s="128" customFormat="1" ht="20.25" customHeight="1">
      <c r="A12" s="77">
        <v>3</v>
      </c>
      <c r="B12" s="56" t="s">
        <v>74</v>
      </c>
      <c r="C12" s="129">
        <f t="shared" si="0"/>
        <v>1</v>
      </c>
      <c r="D12" s="138">
        <f t="shared" si="0"/>
        <v>1963</v>
      </c>
      <c r="E12" s="139">
        <v>0</v>
      </c>
      <c r="F12" s="140">
        <v>0</v>
      </c>
      <c r="G12" s="124">
        <v>0</v>
      </c>
      <c r="H12" s="123">
        <v>0</v>
      </c>
      <c r="I12" s="123">
        <v>0</v>
      </c>
      <c r="J12" s="123">
        <v>0</v>
      </c>
      <c r="K12" s="123">
        <v>0</v>
      </c>
      <c r="L12" s="123">
        <v>0</v>
      </c>
      <c r="M12" s="124">
        <v>0</v>
      </c>
      <c r="N12" s="123">
        <v>0</v>
      </c>
      <c r="O12" s="123">
        <v>1</v>
      </c>
      <c r="P12" s="123">
        <v>1963</v>
      </c>
      <c r="Q12" s="123">
        <v>0</v>
      </c>
      <c r="R12" s="123">
        <v>0</v>
      </c>
      <c r="S12" s="123">
        <v>0</v>
      </c>
      <c r="T12" s="123">
        <v>0</v>
      </c>
      <c r="U12" s="141">
        <v>0</v>
      </c>
      <c r="V12" s="141">
        <v>0</v>
      </c>
      <c r="W12" s="123">
        <v>0</v>
      </c>
      <c r="X12" s="123">
        <v>0</v>
      </c>
      <c r="Y12" s="123">
        <v>0</v>
      </c>
      <c r="Z12" s="123">
        <v>0</v>
      </c>
      <c r="AA12" s="123">
        <v>0</v>
      </c>
      <c r="AB12" s="123">
        <v>0</v>
      </c>
      <c r="AC12" s="123">
        <v>0</v>
      </c>
      <c r="AD12" s="123">
        <v>0</v>
      </c>
      <c r="AE12" s="418">
        <v>3</v>
      </c>
      <c r="AF12" s="144"/>
      <c r="AG12" s="144"/>
    </row>
    <row r="13" spans="1:33" s="128" customFormat="1" ht="20.25" customHeight="1">
      <c r="A13" s="77">
        <v>4</v>
      </c>
      <c r="B13" s="56" t="s">
        <v>76</v>
      </c>
      <c r="C13" s="129">
        <f t="shared" si="0"/>
        <v>8</v>
      </c>
      <c r="D13" s="138">
        <f t="shared" si="0"/>
        <v>27363</v>
      </c>
      <c r="E13" s="139">
        <v>6</v>
      </c>
      <c r="F13" s="140">
        <v>26250</v>
      </c>
      <c r="G13" s="124">
        <v>0</v>
      </c>
      <c r="H13" s="123">
        <v>0</v>
      </c>
      <c r="I13" s="124">
        <v>0</v>
      </c>
      <c r="J13" s="123">
        <v>0</v>
      </c>
      <c r="K13" s="123">
        <v>0</v>
      </c>
      <c r="L13" s="123">
        <v>0</v>
      </c>
      <c r="M13" s="123">
        <v>1</v>
      </c>
      <c r="N13" s="123">
        <v>903</v>
      </c>
      <c r="O13" s="123">
        <v>0</v>
      </c>
      <c r="P13" s="123">
        <v>0</v>
      </c>
      <c r="Q13" s="123">
        <v>0</v>
      </c>
      <c r="R13" s="123">
        <v>0</v>
      </c>
      <c r="S13" s="123">
        <v>0</v>
      </c>
      <c r="T13" s="123">
        <v>0</v>
      </c>
      <c r="U13" s="141">
        <v>0</v>
      </c>
      <c r="V13" s="141">
        <v>0</v>
      </c>
      <c r="W13" s="123">
        <v>0</v>
      </c>
      <c r="X13" s="123">
        <v>0</v>
      </c>
      <c r="Y13" s="123">
        <v>0</v>
      </c>
      <c r="Z13" s="123">
        <v>0</v>
      </c>
      <c r="AA13" s="123">
        <v>1</v>
      </c>
      <c r="AB13" s="123">
        <v>210</v>
      </c>
      <c r="AC13" s="123">
        <v>0</v>
      </c>
      <c r="AD13" s="123">
        <v>0</v>
      </c>
      <c r="AE13" s="418">
        <v>4</v>
      </c>
      <c r="AF13" s="144"/>
      <c r="AG13" s="144"/>
    </row>
    <row r="14" spans="1:33" s="128" customFormat="1" ht="20.25" customHeight="1">
      <c r="A14" s="77">
        <v>5</v>
      </c>
      <c r="B14" s="56" t="s">
        <v>75</v>
      </c>
      <c r="C14" s="129">
        <f t="shared" si="0"/>
        <v>12</v>
      </c>
      <c r="D14" s="138">
        <f t="shared" si="0"/>
        <v>91717</v>
      </c>
      <c r="E14" s="139">
        <v>11</v>
      </c>
      <c r="F14" s="140">
        <v>82582</v>
      </c>
      <c r="G14" s="124">
        <v>1</v>
      </c>
      <c r="H14" s="123">
        <v>9135</v>
      </c>
      <c r="I14" s="123">
        <v>0</v>
      </c>
      <c r="J14" s="123">
        <v>0</v>
      </c>
      <c r="K14" s="123">
        <v>0</v>
      </c>
      <c r="L14" s="123">
        <v>0</v>
      </c>
      <c r="M14" s="124">
        <v>0</v>
      </c>
      <c r="N14" s="123">
        <v>0</v>
      </c>
      <c r="O14" s="123">
        <v>0</v>
      </c>
      <c r="P14" s="123">
        <v>0</v>
      </c>
      <c r="Q14" s="123">
        <v>0</v>
      </c>
      <c r="R14" s="123">
        <v>0</v>
      </c>
      <c r="S14" s="123">
        <v>0</v>
      </c>
      <c r="T14" s="123">
        <v>0</v>
      </c>
      <c r="U14" s="141">
        <v>0</v>
      </c>
      <c r="V14" s="141">
        <v>0</v>
      </c>
      <c r="W14" s="123">
        <v>0</v>
      </c>
      <c r="X14" s="123">
        <v>0</v>
      </c>
      <c r="Y14" s="123">
        <v>0</v>
      </c>
      <c r="Z14" s="123">
        <v>0</v>
      </c>
      <c r="AA14" s="123">
        <v>0</v>
      </c>
      <c r="AB14" s="123">
        <v>0</v>
      </c>
      <c r="AC14" s="123">
        <v>0</v>
      </c>
      <c r="AD14" s="123">
        <v>0</v>
      </c>
      <c r="AE14" s="418">
        <v>5</v>
      </c>
      <c r="AF14" s="144"/>
      <c r="AG14" s="144"/>
    </row>
    <row r="15" spans="1:33" s="128" customFormat="1" ht="20.25" customHeight="1" thickBot="1">
      <c r="A15" s="145"/>
      <c r="B15" s="87"/>
      <c r="C15" s="146"/>
      <c r="D15" s="146"/>
      <c r="E15" s="147"/>
      <c r="F15" s="148"/>
      <c r="G15" s="147"/>
      <c r="H15" s="148"/>
      <c r="I15" s="147"/>
      <c r="J15" s="148"/>
      <c r="K15" s="148"/>
      <c r="L15" s="148"/>
      <c r="M15" s="147"/>
      <c r="N15" s="148"/>
      <c r="O15" s="148"/>
      <c r="P15" s="148"/>
      <c r="Q15" s="148"/>
      <c r="R15" s="148"/>
      <c r="S15" s="148"/>
      <c r="T15" s="148"/>
      <c r="U15" s="147"/>
      <c r="V15" s="147"/>
      <c r="W15" s="148"/>
      <c r="X15" s="148"/>
      <c r="Y15" s="148"/>
      <c r="Z15" s="148"/>
      <c r="AA15" s="148"/>
      <c r="AB15" s="149"/>
      <c r="AC15" s="148"/>
      <c r="AD15" s="150"/>
      <c r="AE15" s="421"/>
      <c r="AF15" s="144"/>
      <c r="AG15" s="144"/>
    </row>
    <row r="16" spans="1:33" s="132" customFormat="1" ht="20.25" customHeight="1">
      <c r="A16" s="81" t="s">
        <v>77</v>
      </c>
      <c r="B16" s="82"/>
      <c r="C16" s="129">
        <f aca="true" t="shared" si="4" ref="C16:C24">+E16+G16+I16+K16+M16+O16+Q16+S16+U16+W16+Y16+AA16+AC16</f>
        <v>24</v>
      </c>
      <c r="D16" s="138">
        <f aca="true" t="shared" si="5" ref="D16:D24">+F16+H16+J16+L16+N16+P16+R16+T16+V16+X16+Z16+AB16+AD16</f>
        <v>200872</v>
      </c>
      <c r="E16" s="129">
        <f aca="true" t="shared" si="6" ref="E16:AD16">+E17</f>
        <v>20</v>
      </c>
      <c r="F16" s="129">
        <f t="shared" si="6"/>
        <v>153665</v>
      </c>
      <c r="G16" s="129">
        <f t="shared" si="6"/>
        <v>0</v>
      </c>
      <c r="H16" s="129">
        <f t="shared" si="6"/>
        <v>0</v>
      </c>
      <c r="I16" s="129">
        <f t="shared" si="6"/>
        <v>0</v>
      </c>
      <c r="J16" s="129">
        <f t="shared" si="6"/>
        <v>0</v>
      </c>
      <c r="K16" s="129">
        <f t="shared" si="6"/>
        <v>0</v>
      </c>
      <c r="L16" s="129">
        <f t="shared" si="6"/>
        <v>0</v>
      </c>
      <c r="M16" s="129">
        <f t="shared" si="6"/>
        <v>3</v>
      </c>
      <c r="N16" s="129">
        <f t="shared" si="6"/>
        <v>43627</v>
      </c>
      <c r="O16" s="129">
        <f t="shared" si="6"/>
        <v>1</v>
      </c>
      <c r="P16" s="129">
        <f t="shared" si="6"/>
        <v>3580</v>
      </c>
      <c r="Q16" s="129">
        <f t="shared" si="6"/>
        <v>0</v>
      </c>
      <c r="R16" s="129">
        <f t="shared" si="6"/>
        <v>0</v>
      </c>
      <c r="S16" s="129">
        <f t="shared" si="6"/>
        <v>0</v>
      </c>
      <c r="T16" s="129">
        <f t="shared" si="6"/>
        <v>0</v>
      </c>
      <c r="U16" s="141">
        <f t="shared" si="6"/>
        <v>0</v>
      </c>
      <c r="V16" s="141">
        <f t="shared" si="6"/>
        <v>0</v>
      </c>
      <c r="W16" s="129">
        <f t="shared" si="6"/>
        <v>0</v>
      </c>
      <c r="X16" s="129">
        <f t="shared" si="6"/>
        <v>0</v>
      </c>
      <c r="Y16" s="141">
        <f t="shared" si="6"/>
        <v>0</v>
      </c>
      <c r="Z16" s="141">
        <f t="shared" si="6"/>
        <v>0</v>
      </c>
      <c r="AA16" s="129">
        <f t="shared" si="6"/>
        <v>0</v>
      </c>
      <c r="AB16" s="151">
        <f t="shared" si="6"/>
        <v>0</v>
      </c>
      <c r="AC16" s="129">
        <f t="shared" si="6"/>
        <v>0</v>
      </c>
      <c r="AD16" s="152">
        <f t="shared" si="6"/>
        <v>0</v>
      </c>
      <c r="AE16" s="419"/>
      <c r="AF16" s="153"/>
      <c r="AG16" s="153"/>
    </row>
    <row r="17" spans="1:33" s="132" customFormat="1" ht="20.25" customHeight="1">
      <c r="A17" s="537" t="s">
        <v>78</v>
      </c>
      <c r="B17" s="538"/>
      <c r="C17" s="129">
        <f t="shared" si="4"/>
        <v>24</v>
      </c>
      <c r="D17" s="138">
        <f t="shared" si="5"/>
        <v>200872</v>
      </c>
      <c r="E17" s="129">
        <f aca="true" t="shared" si="7" ref="E17:X17">SUM(E18:E24)</f>
        <v>20</v>
      </c>
      <c r="F17" s="129">
        <f t="shared" si="7"/>
        <v>153665</v>
      </c>
      <c r="G17" s="129">
        <f t="shared" si="7"/>
        <v>0</v>
      </c>
      <c r="H17" s="129">
        <f t="shared" si="7"/>
        <v>0</v>
      </c>
      <c r="I17" s="129">
        <f t="shared" si="7"/>
        <v>0</v>
      </c>
      <c r="J17" s="129">
        <f t="shared" si="7"/>
        <v>0</v>
      </c>
      <c r="K17" s="129">
        <f t="shared" si="7"/>
        <v>0</v>
      </c>
      <c r="L17" s="129">
        <f t="shared" si="7"/>
        <v>0</v>
      </c>
      <c r="M17" s="129">
        <f t="shared" si="7"/>
        <v>3</v>
      </c>
      <c r="N17" s="129">
        <f t="shared" si="7"/>
        <v>43627</v>
      </c>
      <c r="O17" s="129">
        <f t="shared" si="7"/>
        <v>1</v>
      </c>
      <c r="P17" s="129">
        <f t="shared" si="7"/>
        <v>3580</v>
      </c>
      <c r="Q17" s="129">
        <f t="shared" si="7"/>
        <v>0</v>
      </c>
      <c r="R17" s="129">
        <f t="shared" si="7"/>
        <v>0</v>
      </c>
      <c r="S17" s="129">
        <f t="shared" si="7"/>
        <v>0</v>
      </c>
      <c r="T17" s="129">
        <f t="shared" si="7"/>
        <v>0</v>
      </c>
      <c r="U17" s="129">
        <f t="shared" si="7"/>
        <v>0</v>
      </c>
      <c r="V17" s="129">
        <f t="shared" si="7"/>
        <v>0</v>
      </c>
      <c r="W17" s="129">
        <f t="shared" si="7"/>
        <v>0</v>
      </c>
      <c r="X17" s="129">
        <f t="shared" si="7"/>
        <v>0</v>
      </c>
      <c r="Y17" s="129">
        <f aca="true" t="shared" si="8" ref="Y17:AD17">SUM(Y18:Y24)</f>
        <v>0</v>
      </c>
      <c r="Z17" s="129">
        <f t="shared" si="8"/>
        <v>0</v>
      </c>
      <c r="AA17" s="129">
        <f t="shared" si="8"/>
        <v>0</v>
      </c>
      <c r="AB17" s="129">
        <f t="shared" si="8"/>
        <v>0</v>
      </c>
      <c r="AC17" s="129">
        <f t="shared" si="8"/>
        <v>0</v>
      </c>
      <c r="AD17" s="129">
        <f t="shared" si="8"/>
        <v>0</v>
      </c>
      <c r="AE17" s="419"/>
      <c r="AF17" s="153"/>
      <c r="AG17" s="153"/>
    </row>
    <row r="18" spans="1:33" s="128" customFormat="1" ht="20.25" customHeight="1">
      <c r="A18" s="77">
        <v>6</v>
      </c>
      <c r="B18" s="56" t="s">
        <v>79</v>
      </c>
      <c r="C18" s="129">
        <f t="shared" si="4"/>
        <v>3</v>
      </c>
      <c r="D18" s="138">
        <f t="shared" si="5"/>
        <v>22564</v>
      </c>
      <c r="E18" s="124">
        <v>2</v>
      </c>
      <c r="F18" s="140">
        <v>18984</v>
      </c>
      <c r="G18" s="124">
        <v>0</v>
      </c>
      <c r="H18" s="123">
        <v>0</v>
      </c>
      <c r="I18" s="123">
        <v>0</v>
      </c>
      <c r="J18" s="123">
        <v>0</v>
      </c>
      <c r="K18" s="123">
        <v>0</v>
      </c>
      <c r="L18" s="123">
        <v>0</v>
      </c>
      <c r="M18" s="123">
        <v>0</v>
      </c>
      <c r="N18" s="123">
        <v>0</v>
      </c>
      <c r="O18" s="123">
        <v>1</v>
      </c>
      <c r="P18" s="123">
        <v>3580</v>
      </c>
      <c r="Q18" s="123">
        <v>0</v>
      </c>
      <c r="R18" s="123">
        <v>0</v>
      </c>
      <c r="S18" s="123">
        <v>0</v>
      </c>
      <c r="T18" s="123">
        <v>0</v>
      </c>
      <c r="U18" s="141">
        <v>0</v>
      </c>
      <c r="V18" s="141">
        <v>0</v>
      </c>
      <c r="W18" s="123">
        <v>0</v>
      </c>
      <c r="X18" s="123">
        <v>0</v>
      </c>
      <c r="Y18" s="123">
        <v>0</v>
      </c>
      <c r="Z18" s="123">
        <v>0</v>
      </c>
      <c r="AA18" s="123">
        <v>0</v>
      </c>
      <c r="AB18" s="123">
        <v>0</v>
      </c>
      <c r="AC18" s="123">
        <v>0</v>
      </c>
      <c r="AD18" s="123">
        <v>0</v>
      </c>
      <c r="AE18" s="418">
        <v>6</v>
      </c>
      <c r="AF18" s="144"/>
      <c r="AG18" s="144"/>
    </row>
    <row r="19" spans="1:33" s="128" customFormat="1" ht="20.25" customHeight="1">
      <c r="A19" s="77">
        <v>7</v>
      </c>
      <c r="B19" s="56" t="s">
        <v>80</v>
      </c>
      <c r="C19" s="129">
        <f t="shared" si="4"/>
        <v>10</v>
      </c>
      <c r="D19" s="138">
        <f t="shared" si="5"/>
        <v>75852</v>
      </c>
      <c r="E19" s="124">
        <v>9</v>
      </c>
      <c r="F19" s="140">
        <v>71022</v>
      </c>
      <c r="G19" s="124">
        <v>0</v>
      </c>
      <c r="H19" s="123">
        <v>0</v>
      </c>
      <c r="I19" s="123">
        <v>0</v>
      </c>
      <c r="J19" s="123">
        <v>0</v>
      </c>
      <c r="K19" s="123">
        <v>0</v>
      </c>
      <c r="L19" s="123">
        <v>0</v>
      </c>
      <c r="M19" s="123">
        <v>1</v>
      </c>
      <c r="N19" s="123">
        <v>4830</v>
      </c>
      <c r="O19" s="123">
        <v>0</v>
      </c>
      <c r="P19" s="123">
        <v>0</v>
      </c>
      <c r="Q19" s="123">
        <v>0</v>
      </c>
      <c r="R19" s="123">
        <v>0</v>
      </c>
      <c r="S19" s="123">
        <v>0</v>
      </c>
      <c r="T19" s="123">
        <v>0</v>
      </c>
      <c r="U19" s="123">
        <v>0</v>
      </c>
      <c r="V19" s="123">
        <v>0</v>
      </c>
      <c r="W19" s="123">
        <v>0</v>
      </c>
      <c r="X19" s="123">
        <v>0</v>
      </c>
      <c r="Y19" s="123">
        <v>0</v>
      </c>
      <c r="Z19" s="123">
        <v>0</v>
      </c>
      <c r="AA19" s="123">
        <v>0</v>
      </c>
      <c r="AB19" s="123">
        <v>0</v>
      </c>
      <c r="AC19" s="123">
        <v>0</v>
      </c>
      <c r="AD19" s="123">
        <v>0</v>
      </c>
      <c r="AE19" s="418">
        <v>7</v>
      </c>
      <c r="AF19" s="144"/>
      <c r="AG19" s="144"/>
    </row>
    <row r="20" spans="1:33" s="128" customFormat="1" ht="20.25" customHeight="1">
      <c r="A20" s="77">
        <v>8</v>
      </c>
      <c r="B20" s="56" t="s">
        <v>81</v>
      </c>
      <c r="C20" s="129">
        <f t="shared" si="4"/>
        <v>1</v>
      </c>
      <c r="D20" s="138">
        <f t="shared" si="5"/>
        <v>12001</v>
      </c>
      <c r="E20" s="124">
        <v>1</v>
      </c>
      <c r="F20" s="140">
        <v>12001</v>
      </c>
      <c r="G20" s="124">
        <v>0</v>
      </c>
      <c r="H20" s="123">
        <v>0</v>
      </c>
      <c r="I20" s="123">
        <v>0</v>
      </c>
      <c r="J20" s="123">
        <v>0</v>
      </c>
      <c r="K20" s="123">
        <v>0</v>
      </c>
      <c r="L20" s="123">
        <v>0</v>
      </c>
      <c r="M20" s="154">
        <v>0</v>
      </c>
      <c r="N20" s="123">
        <v>0</v>
      </c>
      <c r="O20" s="123">
        <v>0</v>
      </c>
      <c r="P20" s="123">
        <v>0</v>
      </c>
      <c r="Q20" s="123">
        <v>0</v>
      </c>
      <c r="R20" s="123">
        <v>0</v>
      </c>
      <c r="S20" s="123">
        <v>0</v>
      </c>
      <c r="T20" s="123">
        <v>0</v>
      </c>
      <c r="U20" s="141">
        <v>0</v>
      </c>
      <c r="V20" s="141">
        <v>0</v>
      </c>
      <c r="W20" s="123">
        <v>0</v>
      </c>
      <c r="X20" s="123">
        <v>0</v>
      </c>
      <c r="Y20" s="123">
        <v>0</v>
      </c>
      <c r="Z20" s="123">
        <v>0</v>
      </c>
      <c r="AA20" s="123">
        <v>0</v>
      </c>
      <c r="AB20" s="123">
        <v>0</v>
      </c>
      <c r="AC20" s="123">
        <v>0</v>
      </c>
      <c r="AD20" s="123">
        <v>0</v>
      </c>
      <c r="AE20" s="418">
        <v>8</v>
      </c>
      <c r="AF20" s="144"/>
      <c r="AG20" s="144"/>
    </row>
    <row r="21" spans="1:33" s="128" customFormat="1" ht="20.25" customHeight="1">
      <c r="A21" s="77">
        <v>9</v>
      </c>
      <c r="B21" s="56" t="s">
        <v>82</v>
      </c>
      <c r="C21" s="129">
        <f t="shared" si="4"/>
        <v>5</v>
      </c>
      <c r="D21" s="138">
        <f t="shared" si="5"/>
        <v>49066</v>
      </c>
      <c r="E21" s="124">
        <v>4</v>
      </c>
      <c r="F21" s="140">
        <v>36088</v>
      </c>
      <c r="G21" s="124">
        <v>0</v>
      </c>
      <c r="H21" s="123">
        <v>0</v>
      </c>
      <c r="I21" s="123">
        <v>0</v>
      </c>
      <c r="J21" s="123">
        <v>0</v>
      </c>
      <c r="K21" s="123">
        <v>0</v>
      </c>
      <c r="L21" s="123">
        <v>0</v>
      </c>
      <c r="M21" s="154">
        <v>1</v>
      </c>
      <c r="N21" s="123">
        <v>12978</v>
      </c>
      <c r="O21" s="123">
        <v>0</v>
      </c>
      <c r="P21" s="123">
        <v>0</v>
      </c>
      <c r="Q21" s="123">
        <v>0</v>
      </c>
      <c r="R21" s="123">
        <v>0</v>
      </c>
      <c r="S21" s="123">
        <v>0</v>
      </c>
      <c r="T21" s="123">
        <v>0</v>
      </c>
      <c r="U21" s="141">
        <v>0</v>
      </c>
      <c r="V21" s="141">
        <v>0</v>
      </c>
      <c r="W21" s="123">
        <v>0</v>
      </c>
      <c r="X21" s="123">
        <v>0</v>
      </c>
      <c r="Y21" s="123">
        <v>0</v>
      </c>
      <c r="Z21" s="123">
        <v>0</v>
      </c>
      <c r="AA21" s="123">
        <v>0</v>
      </c>
      <c r="AB21" s="123">
        <v>0</v>
      </c>
      <c r="AC21" s="123">
        <v>0</v>
      </c>
      <c r="AD21" s="123">
        <v>0</v>
      </c>
      <c r="AE21" s="418">
        <v>9</v>
      </c>
      <c r="AF21" s="144"/>
      <c r="AG21" s="144"/>
    </row>
    <row r="22" spans="1:33" s="128" customFormat="1" ht="20.25" customHeight="1">
      <c r="A22" s="77">
        <v>10</v>
      </c>
      <c r="B22" s="56" t="s">
        <v>83</v>
      </c>
      <c r="C22" s="129">
        <f t="shared" si="4"/>
        <v>1</v>
      </c>
      <c r="D22" s="138">
        <f t="shared" si="5"/>
        <v>8662</v>
      </c>
      <c r="E22" s="124">
        <v>1</v>
      </c>
      <c r="F22" s="140">
        <v>8662</v>
      </c>
      <c r="G22" s="124">
        <v>0</v>
      </c>
      <c r="H22" s="123">
        <v>0</v>
      </c>
      <c r="I22" s="123">
        <v>0</v>
      </c>
      <c r="J22" s="123">
        <v>0</v>
      </c>
      <c r="K22" s="123">
        <v>0</v>
      </c>
      <c r="L22" s="123">
        <v>0</v>
      </c>
      <c r="M22" s="154">
        <v>0</v>
      </c>
      <c r="N22" s="123">
        <v>0</v>
      </c>
      <c r="O22" s="123">
        <v>0</v>
      </c>
      <c r="P22" s="123">
        <v>0</v>
      </c>
      <c r="Q22" s="123">
        <v>0</v>
      </c>
      <c r="R22" s="123">
        <v>0</v>
      </c>
      <c r="S22" s="123">
        <v>0</v>
      </c>
      <c r="T22" s="123">
        <v>0</v>
      </c>
      <c r="U22" s="141">
        <v>0</v>
      </c>
      <c r="V22" s="141">
        <v>0</v>
      </c>
      <c r="W22" s="123">
        <v>0</v>
      </c>
      <c r="X22" s="123">
        <v>0</v>
      </c>
      <c r="Y22" s="123">
        <v>0</v>
      </c>
      <c r="Z22" s="123">
        <v>0</v>
      </c>
      <c r="AA22" s="123">
        <v>0</v>
      </c>
      <c r="AB22" s="123">
        <v>0</v>
      </c>
      <c r="AC22" s="123">
        <v>0</v>
      </c>
      <c r="AD22" s="123">
        <v>0</v>
      </c>
      <c r="AE22" s="418">
        <v>10</v>
      </c>
      <c r="AF22" s="144"/>
      <c r="AG22" s="144"/>
    </row>
    <row r="23" spans="1:33" s="128" customFormat="1" ht="20.25" customHeight="1">
      <c r="A23" s="77">
        <v>11</v>
      </c>
      <c r="B23" s="56" t="s">
        <v>84</v>
      </c>
      <c r="C23" s="129">
        <f t="shared" si="4"/>
        <v>3</v>
      </c>
      <c r="D23" s="138">
        <f t="shared" si="5"/>
        <v>29756</v>
      </c>
      <c r="E23" s="124">
        <v>2</v>
      </c>
      <c r="F23" s="140">
        <v>3937</v>
      </c>
      <c r="G23" s="124">
        <v>0</v>
      </c>
      <c r="H23" s="123">
        <v>0</v>
      </c>
      <c r="I23" s="123">
        <v>0</v>
      </c>
      <c r="J23" s="123">
        <v>0</v>
      </c>
      <c r="K23" s="123">
        <v>0</v>
      </c>
      <c r="L23" s="123">
        <v>0</v>
      </c>
      <c r="M23" s="154">
        <v>1</v>
      </c>
      <c r="N23" s="123">
        <v>25819</v>
      </c>
      <c r="O23" s="123">
        <v>0</v>
      </c>
      <c r="P23" s="123">
        <v>0</v>
      </c>
      <c r="Q23" s="123">
        <v>0</v>
      </c>
      <c r="R23" s="123">
        <v>0</v>
      </c>
      <c r="S23" s="123">
        <v>0</v>
      </c>
      <c r="T23" s="123">
        <v>0</v>
      </c>
      <c r="U23" s="141">
        <v>0</v>
      </c>
      <c r="V23" s="141">
        <v>0</v>
      </c>
      <c r="W23" s="123">
        <v>0</v>
      </c>
      <c r="X23" s="123">
        <v>0</v>
      </c>
      <c r="Y23" s="123">
        <v>0</v>
      </c>
      <c r="Z23" s="123">
        <v>0</v>
      </c>
      <c r="AA23" s="123">
        <v>0</v>
      </c>
      <c r="AB23" s="123">
        <v>0</v>
      </c>
      <c r="AC23" s="123">
        <v>0</v>
      </c>
      <c r="AD23" s="123">
        <v>0</v>
      </c>
      <c r="AE23" s="418">
        <v>11</v>
      </c>
      <c r="AF23" s="144"/>
      <c r="AG23" s="144"/>
    </row>
    <row r="24" spans="1:33" s="128" customFormat="1" ht="20.25" customHeight="1">
      <c r="A24" s="77">
        <v>12</v>
      </c>
      <c r="B24" s="56" t="s">
        <v>85</v>
      </c>
      <c r="C24" s="129">
        <f t="shared" si="4"/>
        <v>1</v>
      </c>
      <c r="D24" s="138">
        <f t="shared" si="5"/>
        <v>2971</v>
      </c>
      <c r="E24" s="124">
        <v>1</v>
      </c>
      <c r="F24" s="140">
        <v>2971</v>
      </c>
      <c r="G24" s="124">
        <v>0</v>
      </c>
      <c r="H24" s="123">
        <v>0</v>
      </c>
      <c r="I24" s="123">
        <v>0</v>
      </c>
      <c r="J24" s="123">
        <v>0</v>
      </c>
      <c r="K24" s="123">
        <v>0</v>
      </c>
      <c r="L24" s="123">
        <v>0</v>
      </c>
      <c r="M24" s="154">
        <v>0</v>
      </c>
      <c r="N24" s="123">
        <v>0</v>
      </c>
      <c r="O24" s="123">
        <v>0</v>
      </c>
      <c r="P24" s="123">
        <v>0</v>
      </c>
      <c r="Q24" s="123">
        <v>0</v>
      </c>
      <c r="R24" s="123">
        <v>0</v>
      </c>
      <c r="S24" s="123">
        <v>0</v>
      </c>
      <c r="T24" s="123">
        <v>0</v>
      </c>
      <c r="U24" s="141">
        <v>0</v>
      </c>
      <c r="V24" s="141">
        <v>0</v>
      </c>
      <c r="W24" s="123">
        <v>0</v>
      </c>
      <c r="X24" s="123">
        <v>0</v>
      </c>
      <c r="Y24" s="123">
        <v>0</v>
      </c>
      <c r="Z24" s="123">
        <v>0</v>
      </c>
      <c r="AA24" s="123">
        <v>0</v>
      </c>
      <c r="AB24" s="123">
        <v>0</v>
      </c>
      <c r="AC24" s="123">
        <v>0</v>
      </c>
      <c r="AD24" s="123">
        <v>0</v>
      </c>
      <c r="AE24" s="418">
        <v>12</v>
      </c>
      <c r="AF24" s="144"/>
      <c r="AG24" s="144"/>
    </row>
    <row r="25" spans="1:33" s="128" customFormat="1" ht="20.25" customHeight="1" thickBot="1">
      <c r="A25" s="77"/>
      <c r="B25" s="80"/>
      <c r="C25" s="129"/>
      <c r="D25" s="129"/>
      <c r="E25" s="124"/>
      <c r="F25" s="123"/>
      <c r="G25" s="124"/>
      <c r="H25" s="123"/>
      <c r="I25" s="124"/>
      <c r="J25" s="123"/>
      <c r="K25" s="123"/>
      <c r="L25" s="123"/>
      <c r="M25" s="124"/>
      <c r="N25" s="123"/>
      <c r="O25" s="123"/>
      <c r="P25" s="123"/>
      <c r="Q25" s="123"/>
      <c r="R25" s="123"/>
      <c r="S25" s="123"/>
      <c r="T25" s="123"/>
      <c r="U25" s="124"/>
      <c r="V25" s="124"/>
      <c r="W25" s="123"/>
      <c r="X25" s="123"/>
      <c r="Y25" s="123"/>
      <c r="Z25" s="123"/>
      <c r="AA25" s="123"/>
      <c r="AB25" s="142"/>
      <c r="AC25" s="123"/>
      <c r="AD25" s="143"/>
      <c r="AE25" s="418"/>
      <c r="AF25" s="144"/>
      <c r="AG25" s="144"/>
    </row>
    <row r="26" spans="1:33" s="132" customFormat="1" ht="20.25" customHeight="1">
      <c r="A26" s="134" t="s">
        <v>86</v>
      </c>
      <c r="B26" s="135"/>
      <c r="C26" s="136">
        <f aca="true" t="shared" si="9" ref="C26:D31">+E26+G26+I26+K26+M26+O26+Q26+S26+U26+W26+Y26+AA26+AC26</f>
        <v>75</v>
      </c>
      <c r="D26" s="137">
        <f t="shared" si="9"/>
        <v>429355</v>
      </c>
      <c r="E26" s="136">
        <f aca="true" t="shared" si="10" ref="E26:AD26">E27+E33</f>
        <v>56</v>
      </c>
      <c r="F26" s="136">
        <f t="shared" si="10"/>
        <v>304425</v>
      </c>
      <c r="G26" s="136">
        <f t="shared" si="10"/>
        <v>0</v>
      </c>
      <c r="H26" s="136">
        <f t="shared" si="10"/>
        <v>0</v>
      </c>
      <c r="I26" s="136">
        <f t="shared" si="10"/>
        <v>0</v>
      </c>
      <c r="J26" s="136">
        <f t="shared" si="10"/>
        <v>0</v>
      </c>
      <c r="K26" s="136">
        <f t="shared" si="10"/>
        <v>1</v>
      </c>
      <c r="L26" s="136">
        <f t="shared" si="10"/>
        <v>10860</v>
      </c>
      <c r="M26" s="136">
        <f t="shared" si="10"/>
        <v>5</v>
      </c>
      <c r="N26" s="136">
        <f t="shared" si="10"/>
        <v>86887</v>
      </c>
      <c r="O26" s="136">
        <f t="shared" si="10"/>
        <v>8</v>
      </c>
      <c r="P26" s="136">
        <f t="shared" si="10"/>
        <v>18384</v>
      </c>
      <c r="Q26" s="136">
        <f t="shared" si="10"/>
        <v>0</v>
      </c>
      <c r="R26" s="136">
        <f t="shared" si="10"/>
        <v>0</v>
      </c>
      <c r="S26" s="136">
        <f t="shared" si="10"/>
        <v>0</v>
      </c>
      <c r="T26" s="136">
        <f t="shared" si="10"/>
        <v>0</v>
      </c>
      <c r="U26" s="136">
        <f t="shared" si="10"/>
        <v>0</v>
      </c>
      <c r="V26" s="136">
        <f t="shared" si="10"/>
        <v>0</v>
      </c>
      <c r="W26" s="136">
        <f t="shared" si="10"/>
        <v>0</v>
      </c>
      <c r="X26" s="136">
        <f t="shared" si="10"/>
        <v>0</v>
      </c>
      <c r="Y26" s="136">
        <f t="shared" si="10"/>
        <v>0</v>
      </c>
      <c r="Z26" s="136">
        <f t="shared" si="10"/>
        <v>0</v>
      </c>
      <c r="AA26" s="136">
        <f t="shared" si="10"/>
        <v>4</v>
      </c>
      <c r="AB26" s="136">
        <f t="shared" si="10"/>
        <v>3696</v>
      </c>
      <c r="AC26" s="136">
        <f t="shared" si="10"/>
        <v>1</v>
      </c>
      <c r="AD26" s="136">
        <f t="shared" si="10"/>
        <v>5103</v>
      </c>
      <c r="AE26" s="420"/>
      <c r="AF26" s="153"/>
      <c r="AG26" s="153"/>
    </row>
    <row r="27" spans="1:33" s="132" customFormat="1" ht="20.25" customHeight="1">
      <c r="A27" s="537" t="s">
        <v>265</v>
      </c>
      <c r="B27" s="538"/>
      <c r="C27" s="129">
        <f t="shared" si="9"/>
        <v>35</v>
      </c>
      <c r="D27" s="138">
        <f t="shared" si="9"/>
        <v>263506</v>
      </c>
      <c r="E27" s="129">
        <f aca="true" t="shared" si="11" ref="E27:AD27">SUM(E28:E31)</f>
        <v>28</v>
      </c>
      <c r="F27" s="129">
        <f t="shared" si="11"/>
        <v>166130</v>
      </c>
      <c r="G27" s="129">
        <f t="shared" si="11"/>
        <v>0</v>
      </c>
      <c r="H27" s="129">
        <f t="shared" si="11"/>
        <v>0</v>
      </c>
      <c r="I27" s="129">
        <f t="shared" si="11"/>
        <v>0</v>
      </c>
      <c r="J27" s="129">
        <f t="shared" si="11"/>
        <v>0</v>
      </c>
      <c r="K27" s="129">
        <f t="shared" si="11"/>
        <v>0</v>
      </c>
      <c r="L27" s="129">
        <f t="shared" si="11"/>
        <v>0</v>
      </c>
      <c r="M27" s="129">
        <f t="shared" si="11"/>
        <v>2</v>
      </c>
      <c r="N27" s="129">
        <f t="shared" si="11"/>
        <v>79579</v>
      </c>
      <c r="O27" s="129">
        <f t="shared" si="11"/>
        <v>3</v>
      </c>
      <c r="P27" s="129">
        <f t="shared" si="11"/>
        <v>10888</v>
      </c>
      <c r="Q27" s="129">
        <f t="shared" si="11"/>
        <v>0</v>
      </c>
      <c r="R27" s="129">
        <f t="shared" si="11"/>
        <v>0</v>
      </c>
      <c r="S27" s="129">
        <f t="shared" si="11"/>
        <v>0</v>
      </c>
      <c r="T27" s="129">
        <f t="shared" si="11"/>
        <v>0</v>
      </c>
      <c r="U27" s="129">
        <f t="shared" si="11"/>
        <v>0</v>
      </c>
      <c r="V27" s="129">
        <f t="shared" si="11"/>
        <v>0</v>
      </c>
      <c r="W27" s="129">
        <f t="shared" si="11"/>
        <v>0</v>
      </c>
      <c r="X27" s="129">
        <f t="shared" si="11"/>
        <v>0</v>
      </c>
      <c r="Y27" s="129">
        <f t="shared" si="11"/>
        <v>0</v>
      </c>
      <c r="Z27" s="129">
        <f t="shared" si="11"/>
        <v>0</v>
      </c>
      <c r="AA27" s="129">
        <f t="shared" si="11"/>
        <v>1</v>
      </c>
      <c r="AB27" s="129">
        <f t="shared" si="11"/>
        <v>1806</v>
      </c>
      <c r="AC27" s="129">
        <f t="shared" si="11"/>
        <v>1</v>
      </c>
      <c r="AD27" s="129">
        <f t="shared" si="11"/>
        <v>5103</v>
      </c>
      <c r="AE27" s="419"/>
      <c r="AF27" s="153"/>
      <c r="AG27" s="153"/>
    </row>
    <row r="28" spans="1:33" s="104" customFormat="1" ht="20.25" customHeight="1">
      <c r="A28" s="77">
        <v>13</v>
      </c>
      <c r="B28" s="56" t="s">
        <v>87</v>
      </c>
      <c r="C28" s="129">
        <f t="shared" si="9"/>
        <v>9</v>
      </c>
      <c r="D28" s="138">
        <f t="shared" si="9"/>
        <v>66223</v>
      </c>
      <c r="E28" s="139">
        <v>7</v>
      </c>
      <c r="F28" s="140">
        <v>62884</v>
      </c>
      <c r="G28" s="123">
        <v>0</v>
      </c>
      <c r="H28" s="123">
        <v>0</v>
      </c>
      <c r="I28" s="123">
        <v>0</v>
      </c>
      <c r="J28" s="123">
        <v>0</v>
      </c>
      <c r="K28" s="123">
        <v>0</v>
      </c>
      <c r="L28" s="123">
        <v>0</v>
      </c>
      <c r="M28" s="123">
        <v>0</v>
      </c>
      <c r="N28" s="123">
        <v>0</v>
      </c>
      <c r="O28" s="123">
        <v>2</v>
      </c>
      <c r="P28" s="123">
        <v>3339</v>
      </c>
      <c r="Q28" s="123">
        <v>0</v>
      </c>
      <c r="R28" s="123">
        <v>0</v>
      </c>
      <c r="S28" s="123">
        <v>0</v>
      </c>
      <c r="T28" s="123">
        <v>0</v>
      </c>
      <c r="U28" s="141">
        <v>0</v>
      </c>
      <c r="V28" s="141">
        <v>0</v>
      </c>
      <c r="W28" s="123">
        <v>0</v>
      </c>
      <c r="X28" s="123">
        <v>0</v>
      </c>
      <c r="Y28" s="123">
        <v>0</v>
      </c>
      <c r="Z28" s="123">
        <v>0</v>
      </c>
      <c r="AA28" s="123">
        <v>0</v>
      </c>
      <c r="AB28" s="142">
        <v>0</v>
      </c>
      <c r="AC28" s="123">
        <v>0</v>
      </c>
      <c r="AD28" s="143">
        <v>0</v>
      </c>
      <c r="AE28" s="418">
        <v>13</v>
      </c>
      <c r="AF28" s="144"/>
      <c r="AG28" s="144"/>
    </row>
    <row r="29" spans="1:33" s="104" customFormat="1" ht="20.25" customHeight="1">
      <c r="A29" s="77">
        <v>14</v>
      </c>
      <c r="B29" s="56" t="s">
        <v>88</v>
      </c>
      <c r="C29" s="129">
        <f t="shared" si="9"/>
        <v>26</v>
      </c>
      <c r="D29" s="138">
        <f t="shared" si="9"/>
        <v>197283</v>
      </c>
      <c r="E29" s="139">
        <v>21</v>
      </c>
      <c r="F29" s="140">
        <v>103246</v>
      </c>
      <c r="G29" s="123">
        <v>0</v>
      </c>
      <c r="H29" s="123">
        <v>0</v>
      </c>
      <c r="I29" s="123">
        <v>0</v>
      </c>
      <c r="J29" s="123">
        <v>0</v>
      </c>
      <c r="K29" s="123">
        <v>0</v>
      </c>
      <c r="L29" s="123">
        <v>0</v>
      </c>
      <c r="M29" s="123">
        <v>2</v>
      </c>
      <c r="N29" s="123">
        <v>79579</v>
      </c>
      <c r="O29" s="123">
        <v>1</v>
      </c>
      <c r="P29" s="123">
        <v>7549</v>
      </c>
      <c r="Q29" s="123">
        <v>0</v>
      </c>
      <c r="R29" s="123">
        <v>0</v>
      </c>
      <c r="S29" s="123">
        <v>0</v>
      </c>
      <c r="T29" s="123">
        <v>0</v>
      </c>
      <c r="U29" s="141">
        <v>0</v>
      </c>
      <c r="V29" s="141">
        <v>0</v>
      </c>
      <c r="W29" s="123">
        <v>0</v>
      </c>
      <c r="X29" s="123">
        <v>0</v>
      </c>
      <c r="Y29" s="123">
        <v>0</v>
      </c>
      <c r="Z29" s="123">
        <v>0</v>
      </c>
      <c r="AA29" s="123">
        <v>1</v>
      </c>
      <c r="AB29" s="142">
        <v>1806</v>
      </c>
      <c r="AC29" s="123">
        <v>1</v>
      </c>
      <c r="AD29" s="143">
        <v>5103</v>
      </c>
      <c r="AE29" s="418">
        <v>14</v>
      </c>
      <c r="AF29" s="144"/>
      <c r="AG29" s="144"/>
    </row>
    <row r="30" spans="1:33" s="128" customFormat="1" ht="20.25" customHeight="1">
      <c r="A30" s="77">
        <v>15</v>
      </c>
      <c r="B30" s="56" t="s">
        <v>89</v>
      </c>
      <c r="C30" s="129">
        <f t="shared" si="9"/>
        <v>0</v>
      </c>
      <c r="D30" s="138">
        <f t="shared" si="9"/>
        <v>0</v>
      </c>
      <c r="E30" s="139">
        <v>0</v>
      </c>
      <c r="F30" s="140">
        <v>0</v>
      </c>
      <c r="G30" s="123">
        <v>0</v>
      </c>
      <c r="H30" s="123">
        <v>0</v>
      </c>
      <c r="I30" s="123">
        <v>0</v>
      </c>
      <c r="J30" s="123">
        <v>0</v>
      </c>
      <c r="K30" s="123">
        <v>0</v>
      </c>
      <c r="L30" s="123">
        <v>0</v>
      </c>
      <c r="M30" s="124">
        <v>0</v>
      </c>
      <c r="N30" s="123">
        <v>0</v>
      </c>
      <c r="O30" s="123">
        <v>0</v>
      </c>
      <c r="P30" s="123">
        <v>0</v>
      </c>
      <c r="Q30" s="123">
        <v>0</v>
      </c>
      <c r="R30" s="123">
        <v>0</v>
      </c>
      <c r="S30" s="123">
        <v>0</v>
      </c>
      <c r="T30" s="123">
        <v>0</v>
      </c>
      <c r="U30" s="141">
        <v>0</v>
      </c>
      <c r="V30" s="141">
        <v>0</v>
      </c>
      <c r="W30" s="123">
        <v>0</v>
      </c>
      <c r="X30" s="123">
        <v>0</v>
      </c>
      <c r="Y30" s="123">
        <v>0</v>
      </c>
      <c r="Z30" s="123">
        <v>0</v>
      </c>
      <c r="AA30" s="123">
        <v>0</v>
      </c>
      <c r="AB30" s="142">
        <v>0</v>
      </c>
      <c r="AC30" s="123">
        <v>0</v>
      </c>
      <c r="AD30" s="143">
        <v>0</v>
      </c>
      <c r="AE30" s="418">
        <v>15</v>
      </c>
      <c r="AF30" s="144"/>
      <c r="AG30" s="144"/>
    </row>
    <row r="31" spans="1:33" s="128" customFormat="1" ht="20.25" customHeight="1">
      <c r="A31" s="77">
        <v>16</v>
      </c>
      <c r="B31" s="56" t="s">
        <v>90</v>
      </c>
      <c r="C31" s="129">
        <f t="shared" si="9"/>
        <v>0</v>
      </c>
      <c r="D31" s="138">
        <f t="shared" si="9"/>
        <v>0</v>
      </c>
      <c r="E31" s="139">
        <v>0</v>
      </c>
      <c r="F31" s="140">
        <v>0</v>
      </c>
      <c r="G31" s="123">
        <v>0</v>
      </c>
      <c r="H31" s="123">
        <v>0</v>
      </c>
      <c r="I31" s="123">
        <v>0</v>
      </c>
      <c r="J31" s="123">
        <v>0</v>
      </c>
      <c r="K31" s="123">
        <v>0</v>
      </c>
      <c r="L31" s="123">
        <v>0</v>
      </c>
      <c r="M31" s="124">
        <v>0</v>
      </c>
      <c r="N31" s="123">
        <v>0</v>
      </c>
      <c r="O31" s="123">
        <v>0</v>
      </c>
      <c r="P31" s="123">
        <v>0</v>
      </c>
      <c r="Q31" s="123">
        <v>0</v>
      </c>
      <c r="R31" s="123">
        <v>0</v>
      </c>
      <c r="S31" s="123">
        <v>0</v>
      </c>
      <c r="T31" s="123">
        <v>0</v>
      </c>
      <c r="U31" s="141">
        <v>0</v>
      </c>
      <c r="V31" s="141">
        <v>0</v>
      </c>
      <c r="W31" s="123">
        <v>0</v>
      </c>
      <c r="X31" s="123">
        <v>0</v>
      </c>
      <c r="Y31" s="123">
        <v>0</v>
      </c>
      <c r="Z31" s="123">
        <v>0</v>
      </c>
      <c r="AA31" s="123">
        <v>0</v>
      </c>
      <c r="AB31" s="142">
        <v>0</v>
      </c>
      <c r="AC31" s="123">
        <v>0</v>
      </c>
      <c r="AD31" s="143">
        <v>0</v>
      </c>
      <c r="AE31" s="418">
        <v>16</v>
      </c>
      <c r="AF31" s="144"/>
      <c r="AG31" s="144"/>
    </row>
    <row r="32" spans="1:33" s="128" customFormat="1" ht="20.25" customHeight="1">
      <c r="A32" s="77"/>
      <c r="B32" s="80"/>
      <c r="C32" s="129"/>
      <c r="D32" s="129"/>
      <c r="E32" s="124"/>
      <c r="F32" s="123"/>
      <c r="G32" s="124"/>
      <c r="H32" s="123"/>
      <c r="I32" s="124"/>
      <c r="J32" s="123"/>
      <c r="K32" s="123"/>
      <c r="L32" s="123"/>
      <c r="M32" s="124"/>
      <c r="N32" s="123"/>
      <c r="O32" s="123"/>
      <c r="P32" s="123"/>
      <c r="Q32" s="123"/>
      <c r="R32" s="123"/>
      <c r="S32" s="123"/>
      <c r="T32" s="123"/>
      <c r="U32" s="124"/>
      <c r="V32" s="124"/>
      <c r="W32" s="123"/>
      <c r="X32" s="123"/>
      <c r="Y32" s="123"/>
      <c r="Z32" s="123"/>
      <c r="AA32" s="123"/>
      <c r="AB32" s="142"/>
      <c r="AC32" s="123"/>
      <c r="AD32" s="143"/>
      <c r="AE32" s="418"/>
      <c r="AF32" s="144"/>
      <c r="AG32" s="144"/>
    </row>
    <row r="33" spans="1:33" s="132" customFormat="1" ht="20.25" customHeight="1">
      <c r="A33" s="537" t="s">
        <v>274</v>
      </c>
      <c r="B33" s="538"/>
      <c r="C33" s="129">
        <f aca="true" t="shared" si="12" ref="C33:C44">+E33+G33+I33+K33+M33+O33+Q33+S33+U33+W33+Y33+AA33+AC33</f>
        <v>40</v>
      </c>
      <c r="D33" s="138">
        <f aca="true" t="shared" si="13" ref="D33:D44">+F33+H33+J33+L33+N33+P33+R33+T33+V33+X33+Z33+AB33+AD33</f>
        <v>165849</v>
      </c>
      <c r="E33" s="129">
        <f aca="true" t="shared" si="14" ref="E33:AD33">SUM(E34:E44)</f>
        <v>28</v>
      </c>
      <c r="F33" s="129">
        <f t="shared" si="14"/>
        <v>138295</v>
      </c>
      <c r="G33" s="129">
        <f t="shared" si="14"/>
        <v>0</v>
      </c>
      <c r="H33" s="129">
        <f t="shared" si="14"/>
        <v>0</v>
      </c>
      <c r="I33" s="129">
        <f t="shared" si="14"/>
        <v>0</v>
      </c>
      <c r="J33" s="129">
        <f t="shared" si="14"/>
        <v>0</v>
      </c>
      <c r="K33" s="129">
        <f t="shared" si="14"/>
        <v>1</v>
      </c>
      <c r="L33" s="129">
        <f t="shared" si="14"/>
        <v>10860</v>
      </c>
      <c r="M33" s="129">
        <f t="shared" si="14"/>
        <v>3</v>
      </c>
      <c r="N33" s="129">
        <f t="shared" si="14"/>
        <v>7308</v>
      </c>
      <c r="O33" s="129">
        <f t="shared" si="14"/>
        <v>5</v>
      </c>
      <c r="P33" s="129">
        <f t="shared" si="14"/>
        <v>7496</v>
      </c>
      <c r="Q33" s="129">
        <f t="shared" si="14"/>
        <v>0</v>
      </c>
      <c r="R33" s="129">
        <f t="shared" si="14"/>
        <v>0</v>
      </c>
      <c r="S33" s="129">
        <f t="shared" si="14"/>
        <v>0</v>
      </c>
      <c r="T33" s="129">
        <f t="shared" si="14"/>
        <v>0</v>
      </c>
      <c r="U33" s="129">
        <f t="shared" si="14"/>
        <v>0</v>
      </c>
      <c r="V33" s="129">
        <f t="shared" si="14"/>
        <v>0</v>
      </c>
      <c r="W33" s="129">
        <f t="shared" si="14"/>
        <v>0</v>
      </c>
      <c r="X33" s="129">
        <f t="shared" si="14"/>
        <v>0</v>
      </c>
      <c r="Y33" s="129">
        <f t="shared" si="14"/>
        <v>0</v>
      </c>
      <c r="Z33" s="129">
        <f t="shared" si="14"/>
        <v>0</v>
      </c>
      <c r="AA33" s="129">
        <f t="shared" si="14"/>
        <v>3</v>
      </c>
      <c r="AB33" s="129">
        <f t="shared" si="14"/>
        <v>1890</v>
      </c>
      <c r="AC33" s="129">
        <f t="shared" si="14"/>
        <v>0</v>
      </c>
      <c r="AD33" s="129">
        <f t="shared" si="14"/>
        <v>0</v>
      </c>
      <c r="AE33" s="419"/>
      <c r="AF33" s="153"/>
      <c r="AG33" s="153"/>
    </row>
    <row r="34" spans="1:33" s="104" customFormat="1" ht="20.25" customHeight="1">
      <c r="A34" s="77">
        <v>17</v>
      </c>
      <c r="B34" s="56" t="s">
        <v>91</v>
      </c>
      <c r="C34" s="129">
        <f t="shared" si="12"/>
        <v>20</v>
      </c>
      <c r="D34" s="138">
        <f t="shared" si="13"/>
        <v>74637</v>
      </c>
      <c r="E34" s="139">
        <v>13</v>
      </c>
      <c r="F34" s="140">
        <v>55104</v>
      </c>
      <c r="G34" s="123">
        <v>0</v>
      </c>
      <c r="H34" s="123">
        <v>0</v>
      </c>
      <c r="I34" s="123">
        <v>0</v>
      </c>
      <c r="J34" s="123">
        <v>0</v>
      </c>
      <c r="K34" s="123">
        <v>1</v>
      </c>
      <c r="L34" s="123">
        <v>10860</v>
      </c>
      <c r="M34" s="124">
        <v>2</v>
      </c>
      <c r="N34" s="123">
        <v>6426</v>
      </c>
      <c r="O34" s="123">
        <v>2</v>
      </c>
      <c r="P34" s="123">
        <v>1596</v>
      </c>
      <c r="Q34" s="123">
        <v>0</v>
      </c>
      <c r="R34" s="123">
        <v>0</v>
      </c>
      <c r="S34" s="123">
        <v>0</v>
      </c>
      <c r="T34" s="123">
        <v>0</v>
      </c>
      <c r="U34" s="141">
        <v>0</v>
      </c>
      <c r="V34" s="141">
        <v>0</v>
      </c>
      <c r="W34" s="123">
        <v>0</v>
      </c>
      <c r="X34" s="123">
        <v>0</v>
      </c>
      <c r="Y34" s="123">
        <v>0</v>
      </c>
      <c r="Z34" s="123">
        <v>0</v>
      </c>
      <c r="AA34" s="123">
        <v>2</v>
      </c>
      <c r="AB34" s="142">
        <v>651</v>
      </c>
      <c r="AC34" s="123">
        <v>0</v>
      </c>
      <c r="AD34" s="143">
        <v>0</v>
      </c>
      <c r="AE34" s="418">
        <v>17</v>
      </c>
      <c r="AF34" s="144"/>
      <c r="AG34" s="144"/>
    </row>
    <row r="35" spans="1:33" s="104" customFormat="1" ht="20.25" customHeight="1">
      <c r="A35" s="77">
        <v>18</v>
      </c>
      <c r="B35" s="56" t="s">
        <v>92</v>
      </c>
      <c r="C35" s="129">
        <f t="shared" si="12"/>
        <v>0</v>
      </c>
      <c r="D35" s="138">
        <f t="shared" si="13"/>
        <v>0</v>
      </c>
      <c r="E35" s="139">
        <v>0</v>
      </c>
      <c r="F35" s="140">
        <v>0</v>
      </c>
      <c r="G35" s="123">
        <v>0</v>
      </c>
      <c r="H35" s="123">
        <v>0</v>
      </c>
      <c r="I35" s="123">
        <v>0</v>
      </c>
      <c r="J35" s="123">
        <v>0</v>
      </c>
      <c r="K35" s="123">
        <v>0</v>
      </c>
      <c r="L35" s="123">
        <v>0</v>
      </c>
      <c r="M35" s="124">
        <v>0</v>
      </c>
      <c r="N35" s="123">
        <v>0</v>
      </c>
      <c r="O35" s="123">
        <v>0</v>
      </c>
      <c r="P35" s="123">
        <v>0</v>
      </c>
      <c r="Q35" s="123">
        <v>0</v>
      </c>
      <c r="R35" s="123">
        <v>0</v>
      </c>
      <c r="S35" s="123"/>
      <c r="T35" s="123"/>
      <c r="U35" s="141">
        <v>0</v>
      </c>
      <c r="V35" s="141">
        <v>0</v>
      </c>
      <c r="W35" s="123">
        <v>0</v>
      </c>
      <c r="X35" s="123">
        <v>0</v>
      </c>
      <c r="Y35" s="123">
        <v>0</v>
      </c>
      <c r="Z35" s="123">
        <v>0</v>
      </c>
      <c r="AA35" s="123">
        <v>0</v>
      </c>
      <c r="AB35" s="142">
        <v>0</v>
      </c>
      <c r="AC35" s="123">
        <v>0</v>
      </c>
      <c r="AD35" s="143">
        <v>0</v>
      </c>
      <c r="AE35" s="418">
        <v>18</v>
      </c>
      <c r="AF35" s="144"/>
      <c r="AG35" s="144"/>
    </row>
    <row r="36" spans="1:33" s="104" customFormat="1" ht="20.25" customHeight="1">
      <c r="A36" s="77">
        <v>19</v>
      </c>
      <c r="B36" s="56" t="s">
        <v>93</v>
      </c>
      <c r="C36" s="129">
        <f t="shared" si="12"/>
        <v>1</v>
      </c>
      <c r="D36" s="138">
        <f t="shared" si="13"/>
        <v>1848</v>
      </c>
      <c r="E36" s="139">
        <v>0</v>
      </c>
      <c r="F36" s="140">
        <v>0</v>
      </c>
      <c r="G36" s="123">
        <v>0</v>
      </c>
      <c r="H36" s="123">
        <v>0</v>
      </c>
      <c r="I36" s="123">
        <v>0</v>
      </c>
      <c r="J36" s="123">
        <v>0</v>
      </c>
      <c r="K36" s="123">
        <v>0</v>
      </c>
      <c r="L36" s="123">
        <v>0</v>
      </c>
      <c r="M36" s="124">
        <v>0</v>
      </c>
      <c r="N36" s="123">
        <v>0</v>
      </c>
      <c r="O36" s="123">
        <v>1</v>
      </c>
      <c r="P36" s="123">
        <v>1848</v>
      </c>
      <c r="Q36" s="123">
        <v>0</v>
      </c>
      <c r="R36" s="123">
        <v>0</v>
      </c>
      <c r="S36" s="123"/>
      <c r="T36" s="123"/>
      <c r="U36" s="141">
        <v>0</v>
      </c>
      <c r="V36" s="141">
        <v>0</v>
      </c>
      <c r="W36" s="123">
        <v>0</v>
      </c>
      <c r="X36" s="123">
        <v>0</v>
      </c>
      <c r="Y36" s="123">
        <v>0</v>
      </c>
      <c r="Z36" s="123">
        <v>0</v>
      </c>
      <c r="AA36" s="123">
        <v>0</v>
      </c>
      <c r="AB36" s="142">
        <v>0</v>
      </c>
      <c r="AC36" s="123">
        <v>0</v>
      </c>
      <c r="AD36" s="143">
        <v>0</v>
      </c>
      <c r="AE36" s="418">
        <v>19</v>
      </c>
      <c r="AF36" s="144"/>
      <c r="AG36" s="144"/>
    </row>
    <row r="37" spans="1:33" s="104" customFormat="1" ht="20.25" customHeight="1">
      <c r="A37" s="77">
        <v>20</v>
      </c>
      <c r="B37" s="56" t="s">
        <v>94</v>
      </c>
      <c r="C37" s="129">
        <f t="shared" si="12"/>
        <v>1</v>
      </c>
      <c r="D37" s="138">
        <f t="shared" si="13"/>
        <v>1984</v>
      </c>
      <c r="E37" s="139">
        <v>0</v>
      </c>
      <c r="F37" s="140">
        <v>0</v>
      </c>
      <c r="G37" s="123">
        <v>0</v>
      </c>
      <c r="H37" s="123">
        <v>0</v>
      </c>
      <c r="I37" s="123">
        <v>0</v>
      </c>
      <c r="J37" s="123">
        <v>0</v>
      </c>
      <c r="K37" s="123">
        <v>0</v>
      </c>
      <c r="L37" s="123">
        <v>0</v>
      </c>
      <c r="M37" s="124">
        <v>0</v>
      </c>
      <c r="N37" s="123">
        <v>0</v>
      </c>
      <c r="O37" s="123">
        <v>1</v>
      </c>
      <c r="P37" s="123">
        <v>1984</v>
      </c>
      <c r="Q37" s="123">
        <v>0</v>
      </c>
      <c r="R37" s="123">
        <v>0</v>
      </c>
      <c r="S37" s="123"/>
      <c r="T37" s="123"/>
      <c r="U37" s="141">
        <v>0</v>
      </c>
      <c r="V37" s="141">
        <v>0</v>
      </c>
      <c r="W37" s="123">
        <v>0</v>
      </c>
      <c r="X37" s="123">
        <v>0</v>
      </c>
      <c r="Y37" s="123">
        <v>0</v>
      </c>
      <c r="Z37" s="123">
        <v>0</v>
      </c>
      <c r="AA37" s="123">
        <v>0</v>
      </c>
      <c r="AB37" s="142">
        <v>0</v>
      </c>
      <c r="AC37" s="123">
        <v>0</v>
      </c>
      <c r="AD37" s="143">
        <v>0</v>
      </c>
      <c r="AE37" s="418">
        <v>20</v>
      </c>
      <c r="AF37" s="144"/>
      <c r="AG37" s="144"/>
    </row>
    <row r="38" spans="1:33" s="104" customFormat="1" ht="20.25" customHeight="1">
      <c r="A38" s="77">
        <v>21</v>
      </c>
      <c r="B38" s="56" t="s">
        <v>95</v>
      </c>
      <c r="C38" s="129">
        <f t="shared" si="12"/>
        <v>18</v>
      </c>
      <c r="D38" s="138">
        <f t="shared" si="13"/>
        <v>87380</v>
      </c>
      <c r="E38" s="139">
        <v>15</v>
      </c>
      <c r="F38" s="140">
        <v>83191</v>
      </c>
      <c r="G38" s="123">
        <v>0</v>
      </c>
      <c r="H38" s="123">
        <v>0</v>
      </c>
      <c r="I38" s="123">
        <v>0</v>
      </c>
      <c r="J38" s="123">
        <v>0</v>
      </c>
      <c r="K38" s="123">
        <v>0</v>
      </c>
      <c r="L38" s="123">
        <v>0</v>
      </c>
      <c r="M38" s="124">
        <v>1</v>
      </c>
      <c r="N38" s="123">
        <v>882</v>
      </c>
      <c r="O38" s="123">
        <v>1</v>
      </c>
      <c r="P38" s="123">
        <v>2068</v>
      </c>
      <c r="Q38" s="123">
        <v>0</v>
      </c>
      <c r="R38" s="123">
        <v>0</v>
      </c>
      <c r="S38" s="123"/>
      <c r="T38" s="123"/>
      <c r="U38" s="141">
        <v>0</v>
      </c>
      <c r="V38" s="141">
        <v>0</v>
      </c>
      <c r="W38" s="123">
        <v>0</v>
      </c>
      <c r="X38" s="123">
        <v>0</v>
      </c>
      <c r="Y38" s="123">
        <v>0</v>
      </c>
      <c r="Z38" s="123">
        <v>0</v>
      </c>
      <c r="AA38" s="123">
        <v>1</v>
      </c>
      <c r="AB38" s="142">
        <v>1239</v>
      </c>
      <c r="AC38" s="123">
        <v>0</v>
      </c>
      <c r="AD38" s="143">
        <v>0</v>
      </c>
      <c r="AE38" s="418">
        <v>21</v>
      </c>
      <c r="AF38" s="144"/>
      <c r="AG38" s="144"/>
    </row>
    <row r="39" spans="1:33" s="104" customFormat="1" ht="20.25" customHeight="1">
      <c r="A39" s="77">
        <v>22</v>
      </c>
      <c r="B39" s="56" t="s">
        <v>96</v>
      </c>
      <c r="C39" s="129">
        <f t="shared" si="12"/>
        <v>0</v>
      </c>
      <c r="D39" s="138">
        <f t="shared" si="13"/>
        <v>0</v>
      </c>
      <c r="E39" s="139">
        <v>0</v>
      </c>
      <c r="F39" s="140">
        <v>0</v>
      </c>
      <c r="G39" s="123">
        <v>0</v>
      </c>
      <c r="H39" s="123">
        <v>0</v>
      </c>
      <c r="I39" s="123">
        <v>0</v>
      </c>
      <c r="J39" s="123">
        <v>0</v>
      </c>
      <c r="K39" s="123">
        <v>0</v>
      </c>
      <c r="L39" s="123">
        <v>0</v>
      </c>
      <c r="M39" s="124">
        <v>0</v>
      </c>
      <c r="N39" s="123">
        <v>0</v>
      </c>
      <c r="O39" s="123">
        <v>0</v>
      </c>
      <c r="P39" s="123">
        <v>0</v>
      </c>
      <c r="Q39" s="123">
        <v>0</v>
      </c>
      <c r="R39" s="123">
        <v>0</v>
      </c>
      <c r="S39" s="123"/>
      <c r="T39" s="123"/>
      <c r="U39" s="141">
        <v>0</v>
      </c>
      <c r="V39" s="141">
        <v>0</v>
      </c>
      <c r="W39" s="123">
        <v>0</v>
      </c>
      <c r="X39" s="123">
        <v>0</v>
      </c>
      <c r="Y39" s="123">
        <v>0</v>
      </c>
      <c r="Z39" s="123">
        <v>0</v>
      </c>
      <c r="AA39" s="123">
        <v>0</v>
      </c>
      <c r="AB39" s="142">
        <v>0</v>
      </c>
      <c r="AC39" s="123">
        <v>0</v>
      </c>
      <c r="AD39" s="143">
        <v>0</v>
      </c>
      <c r="AE39" s="418">
        <v>22</v>
      </c>
      <c r="AF39" s="144"/>
      <c r="AG39" s="144"/>
    </row>
    <row r="40" spans="1:33" s="128" customFormat="1" ht="20.25" customHeight="1">
      <c r="A40" s="77">
        <v>23</v>
      </c>
      <c r="B40" s="56" t="s">
        <v>97</v>
      </c>
      <c r="C40" s="129">
        <f t="shared" si="12"/>
        <v>0</v>
      </c>
      <c r="D40" s="138">
        <f t="shared" si="13"/>
        <v>0</v>
      </c>
      <c r="E40" s="139">
        <v>0</v>
      </c>
      <c r="F40" s="140">
        <v>0</v>
      </c>
      <c r="G40" s="123">
        <v>0</v>
      </c>
      <c r="H40" s="123">
        <v>0</v>
      </c>
      <c r="I40" s="123">
        <v>0</v>
      </c>
      <c r="J40" s="123">
        <v>0</v>
      </c>
      <c r="K40" s="123">
        <v>0</v>
      </c>
      <c r="L40" s="123">
        <v>0</v>
      </c>
      <c r="M40" s="124">
        <v>0</v>
      </c>
      <c r="N40" s="123">
        <v>0</v>
      </c>
      <c r="O40" s="123">
        <v>0</v>
      </c>
      <c r="P40" s="123">
        <v>0</v>
      </c>
      <c r="Q40" s="123">
        <v>0</v>
      </c>
      <c r="R40" s="123">
        <v>0</v>
      </c>
      <c r="S40" s="123"/>
      <c r="T40" s="123"/>
      <c r="U40" s="141">
        <v>0</v>
      </c>
      <c r="V40" s="141">
        <v>0</v>
      </c>
      <c r="W40" s="123">
        <v>0</v>
      </c>
      <c r="X40" s="123">
        <v>0</v>
      </c>
      <c r="Y40" s="123">
        <v>0</v>
      </c>
      <c r="Z40" s="123">
        <v>0</v>
      </c>
      <c r="AA40" s="123">
        <v>0</v>
      </c>
      <c r="AB40" s="142">
        <v>0</v>
      </c>
      <c r="AC40" s="123">
        <v>0</v>
      </c>
      <c r="AD40" s="143">
        <v>0</v>
      </c>
      <c r="AE40" s="418">
        <v>23</v>
      </c>
      <c r="AF40" s="144"/>
      <c r="AG40" s="144"/>
    </row>
    <row r="41" spans="1:33" s="128" customFormat="1" ht="20.25" customHeight="1">
      <c r="A41" s="77">
        <v>24</v>
      </c>
      <c r="B41" s="56" t="s">
        <v>98</v>
      </c>
      <c r="C41" s="129">
        <f t="shared" si="12"/>
        <v>0</v>
      </c>
      <c r="D41" s="138">
        <f t="shared" si="13"/>
        <v>0</v>
      </c>
      <c r="E41" s="139">
        <v>0</v>
      </c>
      <c r="F41" s="140">
        <v>0</v>
      </c>
      <c r="G41" s="123">
        <v>0</v>
      </c>
      <c r="H41" s="123">
        <v>0</v>
      </c>
      <c r="I41" s="123">
        <v>0</v>
      </c>
      <c r="J41" s="123">
        <v>0</v>
      </c>
      <c r="K41" s="123">
        <v>0</v>
      </c>
      <c r="L41" s="123">
        <v>0</v>
      </c>
      <c r="M41" s="124">
        <v>0</v>
      </c>
      <c r="N41" s="123">
        <v>0</v>
      </c>
      <c r="O41" s="123">
        <v>0</v>
      </c>
      <c r="P41" s="123">
        <v>0</v>
      </c>
      <c r="Q41" s="123">
        <v>0</v>
      </c>
      <c r="R41" s="123">
        <v>0</v>
      </c>
      <c r="S41" s="123"/>
      <c r="T41" s="123"/>
      <c r="U41" s="141">
        <v>0</v>
      </c>
      <c r="V41" s="141">
        <v>0</v>
      </c>
      <c r="W41" s="123">
        <v>0</v>
      </c>
      <c r="X41" s="123">
        <v>0</v>
      </c>
      <c r="Y41" s="123">
        <v>0</v>
      </c>
      <c r="Z41" s="123">
        <v>0</v>
      </c>
      <c r="AA41" s="123">
        <v>0</v>
      </c>
      <c r="AB41" s="142">
        <v>0</v>
      </c>
      <c r="AC41" s="123">
        <v>0</v>
      </c>
      <c r="AD41" s="143">
        <v>0</v>
      </c>
      <c r="AE41" s="418">
        <v>24</v>
      </c>
      <c r="AF41" s="144"/>
      <c r="AG41" s="144"/>
    </row>
    <row r="42" spans="1:33" s="128" customFormat="1" ht="20.25" customHeight="1">
      <c r="A42" s="77">
        <v>25</v>
      </c>
      <c r="B42" s="56" t="s">
        <v>99</v>
      </c>
      <c r="C42" s="129">
        <f t="shared" si="12"/>
        <v>0</v>
      </c>
      <c r="D42" s="138">
        <f t="shared" si="13"/>
        <v>0</v>
      </c>
      <c r="E42" s="139">
        <v>0</v>
      </c>
      <c r="F42" s="140">
        <v>0</v>
      </c>
      <c r="G42" s="123">
        <v>0</v>
      </c>
      <c r="H42" s="123">
        <v>0</v>
      </c>
      <c r="I42" s="123">
        <v>0</v>
      </c>
      <c r="J42" s="123">
        <v>0</v>
      </c>
      <c r="K42" s="123">
        <v>0</v>
      </c>
      <c r="L42" s="123">
        <v>0</v>
      </c>
      <c r="M42" s="124">
        <v>0</v>
      </c>
      <c r="N42" s="123">
        <v>0</v>
      </c>
      <c r="O42" s="123">
        <v>0</v>
      </c>
      <c r="P42" s="123">
        <v>0</v>
      </c>
      <c r="Q42" s="123">
        <v>0</v>
      </c>
      <c r="R42" s="123">
        <v>0</v>
      </c>
      <c r="S42" s="123"/>
      <c r="T42" s="123"/>
      <c r="U42" s="141">
        <v>0</v>
      </c>
      <c r="V42" s="141">
        <v>0</v>
      </c>
      <c r="W42" s="123">
        <v>0</v>
      </c>
      <c r="X42" s="123">
        <v>0</v>
      </c>
      <c r="Y42" s="123">
        <v>0</v>
      </c>
      <c r="Z42" s="123">
        <v>0</v>
      </c>
      <c r="AA42" s="123">
        <v>0</v>
      </c>
      <c r="AB42" s="142">
        <v>0</v>
      </c>
      <c r="AC42" s="123">
        <v>0</v>
      </c>
      <c r="AD42" s="143">
        <v>0</v>
      </c>
      <c r="AE42" s="418">
        <v>25</v>
      </c>
      <c r="AF42" s="144"/>
      <c r="AG42" s="144"/>
    </row>
    <row r="43" spans="1:33" s="128" customFormat="1" ht="20.25" customHeight="1">
      <c r="A43" s="77">
        <v>26</v>
      </c>
      <c r="B43" s="56" t="s">
        <v>100</v>
      </c>
      <c r="C43" s="129">
        <f t="shared" si="12"/>
        <v>0</v>
      </c>
      <c r="D43" s="138">
        <f t="shared" si="13"/>
        <v>0</v>
      </c>
      <c r="E43" s="139">
        <v>0</v>
      </c>
      <c r="F43" s="140">
        <v>0</v>
      </c>
      <c r="G43" s="123">
        <v>0</v>
      </c>
      <c r="H43" s="123">
        <v>0</v>
      </c>
      <c r="I43" s="123">
        <v>0</v>
      </c>
      <c r="J43" s="123">
        <v>0</v>
      </c>
      <c r="K43" s="123">
        <v>0</v>
      </c>
      <c r="L43" s="123">
        <v>0</v>
      </c>
      <c r="M43" s="124">
        <v>0</v>
      </c>
      <c r="N43" s="123">
        <v>0</v>
      </c>
      <c r="O43" s="123">
        <v>0</v>
      </c>
      <c r="P43" s="123">
        <v>0</v>
      </c>
      <c r="Q43" s="123">
        <v>0</v>
      </c>
      <c r="R43" s="123">
        <v>0</v>
      </c>
      <c r="S43" s="123"/>
      <c r="T43" s="123"/>
      <c r="U43" s="141">
        <v>0</v>
      </c>
      <c r="V43" s="141">
        <v>0</v>
      </c>
      <c r="W43" s="123">
        <v>0</v>
      </c>
      <c r="X43" s="123">
        <v>0</v>
      </c>
      <c r="Y43" s="123">
        <v>0</v>
      </c>
      <c r="Z43" s="123">
        <v>0</v>
      </c>
      <c r="AA43" s="123">
        <v>0</v>
      </c>
      <c r="AB43" s="142">
        <v>0</v>
      </c>
      <c r="AC43" s="123">
        <v>0</v>
      </c>
      <c r="AD43" s="143">
        <v>0</v>
      </c>
      <c r="AE43" s="418">
        <v>26</v>
      </c>
      <c r="AF43" s="144"/>
      <c r="AG43" s="144"/>
    </row>
    <row r="44" spans="1:33" s="128" customFormat="1" ht="20.25" customHeight="1">
      <c r="A44" s="77">
        <v>27</v>
      </c>
      <c r="B44" s="56" t="s">
        <v>101</v>
      </c>
      <c r="C44" s="129">
        <f t="shared" si="12"/>
        <v>0</v>
      </c>
      <c r="D44" s="138">
        <f t="shared" si="13"/>
        <v>0</v>
      </c>
      <c r="E44" s="139">
        <v>0</v>
      </c>
      <c r="F44" s="140">
        <v>0</v>
      </c>
      <c r="G44" s="123">
        <v>0</v>
      </c>
      <c r="H44" s="123">
        <v>0</v>
      </c>
      <c r="I44" s="123">
        <v>0</v>
      </c>
      <c r="J44" s="123">
        <v>0</v>
      </c>
      <c r="K44" s="123">
        <v>0</v>
      </c>
      <c r="L44" s="123">
        <v>0</v>
      </c>
      <c r="M44" s="124">
        <v>0</v>
      </c>
      <c r="N44" s="123">
        <v>0</v>
      </c>
      <c r="O44" s="123">
        <v>0</v>
      </c>
      <c r="P44" s="123">
        <v>0</v>
      </c>
      <c r="Q44" s="123">
        <v>0</v>
      </c>
      <c r="R44" s="123">
        <v>0</v>
      </c>
      <c r="S44" s="123"/>
      <c r="T44" s="123"/>
      <c r="U44" s="141">
        <v>0</v>
      </c>
      <c r="V44" s="141">
        <v>0</v>
      </c>
      <c r="W44" s="123">
        <v>0</v>
      </c>
      <c r="X44" s="123">
        <v>0</v>
      </c>
      <c r="Y44" s="123">
        <v>0</v>
      </c>
      <c r="Z44" s="123">
        <v>0</v>
      </c>
      <c r="AA44" s="123">
        <v>0</v>
      </c>
      <c r="AB44" s="142">
        <v>0</v>
      </c>
      <c r="AC44" s="123">
        <v>0</v>
      </c>
      <c r="AD44" s="143">
        <v>0</v>
      </c>
      <c r="AE44" s="418">
        <v>27</v>
      </c>
      <c r="AF44" s="144"/>
      <c r="AG44" s="144"/>
    </row>
    <row r="45" spans="1:33" s="128" customFormat="1" ht="20.25" customHeight="1" thickBot="1">
      <c r="A45" s="145"/>
      <c r="B45" s="87"/>
      <c r="C45" s="146"/>
      <c r="D45" s="146"/>
      <c r="E45" s="147"/>
      <c r="F45" s="148"/>
      <c r="G45" s="147"/>
      <c r="H45" s="148"/>
      <c r="I45" s="147"/>
      <c r="J45" s="148"/>
      <c r="K45" s="148"/>
      <c r="L45" s="148"/>
      <c r="M45" s="147"/>
      <c r="N45" s="148"/>
      <c r="O45" s="148"/>
      <c r="P45" s="148"/>
      <c r="Q45" s="148"/>
      <c r="R45" s="148"/>
      <c r="S45" s="148"/>
      <c r="T45" s="148"/>
      <c r="U45" s="147"/>
      <c r="V45" s="147"/>
      <c r="W45" s="148"/>
      <c r="X45" s="148"/>
      <c r="Y45" s="148"/>
      <c r="Z45" s="148"/>
      <c r="AA45" s="148"/>
      <c r="AB45" s="149"/>
      <c r="AC45" s="148"/>
      <c r="AD45" s="150"/>
      <c r="AE45" s="421"/>
      <c r="AF45" s="144"/>
      <c r="AG45" s="144"/>
    </row>
    <row r="46" spans="1:33" s="132" customFormat="1" ht="20.25" customHeight="1">
      <c r="A46" s="81" t="s">
        <v>102</v>
      </c>
      <c r="B46" s="82"/>
      <c r="C46" s="129">
        <f aca="true" t="shared" si="15" ref="C46:D49">+E46+G46+I46+K46+M46+O46+Q46+S46+U46+W46+Y46+AA46+AC46</f>
        <v>130</v>
      </c>
      <c r="D46" s="138">
        <f t="shared" si="15"/>
        <v>615698</v>
      </c>
      <c r="E46" s="129">
        <f>E47+E51+E56</f>
        <v>103</v>
      </c>
      <c r="F46" s="129">
        <f>F47+F51+F56</f>
        <v>515340</v>
      </c>
      <c r="G46" s="129">
        <f>G47+G51+G56</f>
        <v>1</v>
      </c>
      <c r="H46" s="129">
        <f>H47+H51+H56</f>
        <v>2242</v>
      </c>
      <c r="I46" s="129">
        <f>+I47+I51+I56</f>
        <v>0</v>
      </c>
      <c r="J46" s="129">
        <f>+J47+J51+J56</f>
        <v>0</v>
      </c>
      <c r="K46" s="129">
        <f aca="true" t="shared" si="16" ref="K46:AD46">K47+K51+K56</f>
        <v>2</v>
      </c>
      <c r="L46" s="129">
        <f t="shared" si="16"/>
        <v>8135</v>
      </c>
      <c r="M46" s="129">
        <f t="shared" si="16"/>
        <v>13</v>
      </c>
      <c r="N46" s="129">
        <f t="shared" si="16"/>
        <v>51826</v>
      </c>
      <c r="O46" s="129">
        <f t="shared" si="16"/>
        <v>11</v>
      </c>
      <c r="P46" s="129">
        <f t="shared" si="16"/>
        <v>38155</v>
      </c>
      <c r="Q46" s="129">
        <f t="shared" si="16"/>
        <v>0</v>
      </c>
      <c r="R46" s="129">
        <f t="shared" si="16"/>
        <v>0</v>
      </c>
      <c r="S46" s="129">
        <f t="shared" si="16"/>
        <v>0</v>
      </c>
      <c r="T46" s="129">
        <f t="shared" si="16"/>
        <v>0</v>
      </c>
      <c r="U46" s="129">
        <f t="shared" si="16"/>
        <v>0</v>
      </c>
      <c r="V46" s="129">
        <f t="shared" si="16"/>
        <v>0</v>
      </c>
      <c r="W46" s="129">
        <f t="shared" si="16"/>
        <v>0</v>
      </c>
      <c r="X46" s="129">
        <f t="shared" si="16"/>
        <v>0</v>
      </c>
      <c r="Y46" s="129">
        <f t="shared" si="16"/>
        <v>0</v>
      </c>
      <c r="Z46" s="129">
        <f t="shared" si="16"/>
        <v>0</v>
      </c>
      <c r="AA46" s="129">
        <f t="shared" si="16"/>
        <v>0</v>
      </c>
      <c r="AB46" s="129">
        <f t="shared" si="16"/>
        <v>0</v>
      </c>
      <c r="AC46" s="129">
        <f t="shared" si="16"/>
        <v>0</v>
      </c>
      <c r="AD46" s="129">
        <f t="shared" si="16"/>
        <v>0</v>
      </c>
      <c r="AE46" s="419"/>
      <c r="AF46" s="153"/>
      <c r="AG46" s="153"/>
    </row>
    <row r="47" spans="1:54" s="132" customFormat="1" ht="20.25" customHeight="1">
      <c r="A47" s="537" t="s">
        <v>267</v>
      </c>
      <c r="B47" s="538"/>
      <c r="C47" s="129">
        <f t="shared" si="15"/>
        <v>41</v>
      </c>
      <c r="D47" s="138">
        <f t="shared" si="15"/>
        <v>162409</v>
      </c>
      <c r="E47" s="129">
        <f aca="true" t="shared" si="17" ref="E47:AD47">SUM(E48:E49)</f>
        <v>34</v>
      </c>
      <c r="F47" s="129">
        <f t="shared" si="17"/>
        <v>144690</v>
      </c>
      <c r="G47" s="129">
        <f t="shared" si="17"/>
        <v>0</v>
      </c>
      <c r="H47" s="129">
        <f t="shared" si="17"/>
        <v>0</v>
      </c>
      <c r="I47" s="129">
        <f t="shared" si="17"/>
        <v>0</v>
      </c>
      <c r="J47" s="129">
        <f t="shared" si="17"/>
        <v>0</v>
      </c>
      <c r="K47" s="129">
        <f t="shared" si="17"/>
        <v>1</v>
      </c>
      <c r="L47" s="129">
        <f t="shared" si="17"/>
        <v>4196</v>
      </c>
      <c r="M47" s="129">
        <f t="shared" si="17"/>
        <v>1</v>
      </c>
      <c r="N47" s="129">
        <f t="shared" si="17"/>
        <v>1407</v>
      </c>
      <c r="O47" s="129">
        <f t="shared" si="17"/>
        <v>5</v>
      </c>
      <c r="P47" s="129">
        <f t="shared" si="17"/>
        <v>12116</v>
      </c>
      <c r="Q47" s="129">
        <f t="shared" si="17"/>
        <v>0</v>
      </c>
      <c r="R47" s="129">
        <f t="shared" si="17"/>
        <v>0</v>
      </c>
      <c r="S47" s="129">
        <f t="shared" si="17"/>
        <v>0</v>
      </c>
      <c r="T47" s="129">
        <f t="shared" si="17"/>
        <v>0</v>
      </c>
      <c r="U47" s="129">
        <f t="shared" si="17"/>
        <v>0</v>
      </c>
      <c r="V47" s="129">
        <f t="shared" si="17"/>
        <v>0</v>
      </c>
      <c r="W47" s="129">
        <f t="shared" si="17"/>
        <v>0</v>
      </c>
      <c r="X47" s="129">
        <f t="shared" si="17"/>
        <v>0</v>
      </c>
      <c r="Y47" s="129">
        <f t="shared" si="17"/>
        <v>0</v>
      </c>
      <c r="Z47" s="129">
        <f t="shared" si="17"/>
        <v>0</v>
      </c>
      <c r="AA47" s="129">
        <f t="shared" si="17"/>
        <v>0</v>
      </c>
      <c r="AB47" s="129">
        <f t="shared" si="17"/>
        <v>0</v>
      </c>
      <c r="AC47" s="129">
        <f t="shared" si="17"/>
        <v>0</v>
      </c>
      <c r="AD47" s="129">
        <f t="shared" si="17"/>
        <v>0</v>
      </c>
      <c r="AE47" s="419"/>
      <c r="AF47" s="153"/>
      <c r="AG47" s="153"/>
      <c r="AW47" s="132">
        <v>0</v>
      </c>
      <c r="AX47" s="132">
        <v>0</v>
      </c>
      <c r="AZ47" s="132">
        <v>0</v>
      </c>
      <c r="BA47" s="132">
        <v>0</v>
      </c>
      <c r="BB47" s="132">
        <v>0</v>
      </c>
    </row>
    <row r="48" spans="1:33" s="128" customFormat="1" ht="20.25" customHeight="1">
      <c r="A48" s="77">
        <v>28</v>
      </c>
      <c r="B48" s="56" t="s">
        <v>103</v>
      </c>
      <c r="C48" s="129">
        <f t="shared" si="15"/>
        <v>17</v>
      </c>
      <c r="D48" s="138">
        <f t="shared" si="15"/>
        <v>66454</v>
      </c>
      <c r="E48" s="124">
        <v>14</v>
      </c>
      <c r="F48" s="124">
        <v>59514</v>
      </c>
      <c r="G48" s="124">
        <v>0</v>
      </c>
      <c r="H48" s="123">
        <v>0</v>
      </c>
      <c r="I48" s="123">
        <v>0</v>
      </c>
      <c r="J48" s="123">
        <v>0</v>
      </c>
      <c r="K48" s="123">
        <v>0</v>
      </c>
      <c r="L48" s="123">
        <v>0</v>
      </c>
      <c r="M48" s="123">
        <v>0</v>
      </c>
      <c r="N48" s="123">
        <v>0</v>
      </c>
      <c r="O48" s="123">
        <v>3</v>
      </c>
      <c r="P48" s="123">
        <v>6940</v>
      </c>
      <c r="Q48" s="123">
        <v>0</v>
      </c>
      <c r="R48" s="123">
        <v>0</v>
      </c>
      <c r="S48" s="123">
        <v>0</v>
      </c>
      <c r="T48" s="123">
        <v>0</v>
      </c>
      <c r="U48" s="141">
        <v>0</v>
      </c>
      <c r="V48" s="141">
        <v>0</v>
      </c>
      <c r="W48" s="123">
        <v>0</v>
      </c>
      <c r="X48" s="123">
        <v>0</v>
      </c>
      <c r="Y48" s="123">
        <v>0</v>
      </c>
      <c r="Z48" s="123">
        <v>0</v>
      </c>
      <c r="AA48" s="123">
        <v>0</v>
      </c>
      <c r="AB48" s="142">
        <v>0</v>
      </c>
      <c r="AC48" s="123">
        <v>0</v>
      </c>
      <c r="AD48" s="143">
        <v>0</v>
      </c>
      <c r="AE48" s="418">
        <v>28</v>
      </c>
      <c r="AF48" s="144"/>
      <c r="AG48" s="144"/>
    </row>
    <row r="49" spans="1:33" s="128" customFormat="1" ht="20.25" customHeight="1">
      <c r="A49" s="77">
        <v>29</v>
      </c>
      <c r="B49" s="56" t="s">
        <v>104</v>
      </c>
      <c r="C49" s="129">
        <f t="shared" si="15"/>
        <v>24</v>
      </c>
      <c r="D49" s="138">
        <f t="shared" si="15"/>
        <v>95955</v>
      </c>
      <c r="E49" s="124">
        <v>20</v>
      </c>
      <c r="F49" s="140">
        <v>85176</v>
      </c>
      <c r="G49" s="124">
        <v>0</v>
      </c>
      <c r="H49" s="123">
        <v>0</v>
      </c>
      <c r="I49" s="123">
        <v>0</v>
      </c>
      <c r="J49" s="123">
        <v>0</v>
      </c>
      <c r="K49" s="123">
        <v>1</v>
      </c>
      <c r="L49" s="123">
        <v>4196</v>
      </c>
      <c r="M49" s="124">
        <v>1</v>
      </c>
      <c r="N49" s="123">
        <v>1407</v>
      </c>
      <c r="O49" s="123">
        <v>2</v>
      </c>
      <c r="P49" s="123">
        <v>5176</v>
      </c>
      <c r="Q49" s="123">
        <v>0</v>
      </c>
      <c r="R49" s="123">
        <v>0</v>
      </c>
      <c r="S49" s="123">
        <v>0</v>
      </c>
      <c r="T49" s="123">
        <v>0</v>
      </c>
      <c r="U49" s="141">
        <v>0</v>
      </c>
      <c r="V49" s="141">
        <v>0</v>
      </c>
      <c r="W49" s="123">
        <v>0</v>
      </c>
      <c r="X49" s="123">
        <v>0</v>
      </c>
      <c r="Y49" s="123">
        <v>0</v>
      </c>
      <c r="Z49" s="123">
        <v>0</v>
      </c>
      <c r="AA49" s="123">
        <v>0</v>
      </c>
      <c r="AB49" s="142">
        <v>0</v>
      </c>
      <c r="AC49" s="123">
        <v>0</v>
      </c>
      <c r="AD49" s="143">
        <v>0</v>
      </c>
      <c r="AE49" s="418">
        <v>29</v>
      </c>
      <c r="AF49" s="144"/>
      <c r="AG49" s="144"/>
    </row>
    <row r="50" spans="1:33" s="128" customFormat="1" ht="20.25" customHeight="1">
      <c r="A50" s="77"/>
      <c r="B50" s="80"/>
      <c r="C50" s="129"/>
      <c r="D50" s="138"/>
      <c r="E50" s="124"/>
      <c r="F50" s="123"/>
      <c r="G50" s="124"/>
      <c r="H50" s="123"/>
      <c r="I50" s="124"/>
      <c r="J50" s="123"/>
      <c r="K50" s="123"/>
      <c r="L50" s="123"/>
      <c r="M50" s="124"/>
      <c r="N50" s="123"/>
      <c r="O50" s="123"/>
      <c r="P50" s="123"/>
      <c r="Q50" s="123"/>
      <c r="R50" s="123"/>
      <c r="S50" s="123"/>
      <c r="T50" s="123"/>
      <c r="U50" s="124"/>
      <c r="V50" s="124"/>
      <c r="W50" s="123"/>
      <c r="X50" s="123"/>
      <c r="Y50" s="123"/>
      <c r="Z50" s="123"/>
      <c r="AA50" s="123"/>
      <c r="AB50" s="142"/>
      <c r="AC50" s="123"/>
      <c r="AD50" s="143"/>
      <c r="AE50" s="418"/>
      <c r="AF50" s="144"/>
      <c r="AG50" s="144"/>
    </row>
    <row r="51" spans="1:33" s="132" customFormat="1" ht="20.25" customHeight="1">
      <c r="A51" s="537" t="s">
        <v>268</v>
      </c>
      <c r="B51" s="538"/>
      <c r="C51" s="129">
        <f aca="true" t="shared" si="18" ref="C51:D54">+E51+G51+I51+K51+M51+O51+Q51+S51+U51+W51+Y51+AA51+AC51</f>
        <v>39</v>
      </c>
      <c r="D51" s="138">
        <f t="shared" si="18"/>
        <v>214945</v>
      </c>
      <c r="E51" s="129">
        <f aca="true" t="shared" si="19" ref="E51:AD51">SUM(E52:E54)</f>
        <v>27</v>
      </c>
      <c r="F51" s="129">
        <f t="shared" si="19"/>
        <v>161816</v>
      </c>
      <c r="G51" s="129">
        <f t="shared" si="19"/>
        <v>0</v>
      </c>
      <c r="H51" s="129">
        <f t="shared" si="19"/>
        <v>0</v>
      </c>
      <c r="I51" s="129">
        <f t="shared" si="19"/>
        <v>0</v>
      </c>
      <c r="J51" s="129">
        <f t="shared" si="19"/>
        <v>0</v>
      </c>
      <c r="K51" s="129">
        <f t="shared" si="19"/>
        <v>0</v>
      </c>
      <c r="L51" s="129">
        <f t="shared" si="19"/>
        <v>0</v>
      </c>
      <c r="M51" s="129">
        <f t="shared" si="19"/>
        <v>9</v>
      </c>
      <c r="N51" s="129">
        <f t="shared" si="19"/>
        <v>37862</v>
      </c>
      <c r="O51" s="129">
        <f t="shared" si="19"/>
        <v>3</v>
      </c>
      <c r="P51" s="129">
        <f t="shared" si="19"/>
        <v>15267</v>
      </c>
      <c r="Q51" s="129">
        <f t="shared" si="19"/>
        <v>0</v>
      </c>
      <c r="R51" s="129">
        <f t="shared" si="19"/>
        <v>0</v>
      </c>
      <c r="S51" s="129">
        <f t="shared" si="19"/>
        <v>0</v>
      </c>
      <c r="T51" s="129">
        <f t="shared" si="19"/>
        <v>0</v>
      </c>
      <c r="U51" s="129">
        <f t="shared" si="19"/>
        <v>0</v>
      </c>
      <c r="V51" s="129">
        <f t="shared" si="19"/>
        <v>0</v>
      </c>
      <c r="W51" s="129">
        <f t="shared" si="19"/>
        <v>0</v>
      </c>
      <c r="X51" s="129">
        <f t="shared" si="19"/>
        <v>0</v>
      </c>
      <c r="Y51" s="129">
        <f t="shared" si="19"/>
        <v>0</v>
      </c>
      <c r="Z51" s="129">
        <f t="shared" si="19"/>
        <v>0</v>
      </c>
      <c r="AA51" s="129">
        <f t="shared" si="19"/>
        <v>0</v>
      </c>
      <c r="AB51" s="129">
        <f t="shared" si="19"/>
        <v>0</v>
      </c>
      <c r="AC51" s="129">
        <f t="shared" si="19"/>
        <v>0</v>
      </c>
      <c r="AD51" s="129">
        <f t="shared" si="19"/>
        <v>0</v>
      </c>
      <c r="AE51" s="419"/>
      <c r="AF51" s="153"/>
      <c r="AG51" s="153"/>
    </row>
    <row r="52" spans="1:33" s="128" customFormat="1" ht="20.25" customHeight="1">
      <c r="A52" s="77">
        <v>30</v>
      </c>
      <c r="B52" s="56" t="s">
        <v>105</v>
      </c>
      <c r="C52" s="129">
        <f t="shared" si="18"/>
        <v>16</v>
      </c>
      <c r="D52" s="138">
        <f t="shared" si="18"/>
        <v>69186</v>
      </c>
      <c r="E52" s="139">
        <v>9</v>
      </c>
      <c r="F52" s="140">
        <v>30483</v>
      </c>
      <c r="G52" s="123">
        <v>0</v>
      </c>
      <c r="H52" s="123">
        <v>0</v>
      </c>
      <c r="I52" s="123">
        <v>0</v>
      </c>
      <c r="J52" s="123">
        <v>0</v>
      </c>
      <c r="K52" s="123">
        <v>0</v>
      </c>
      <c r="L52" s="123">
        <v>0</v>
      </c>
      <c r="M52" s="124">
        <v>6</v>
      </c>
      <c r="N52" s="123">
        <v>34356</v>
      </c>
      <c r="O52" s="123">
        <v>1</v>
      </c>
      <c r="P52" s="123">
        <v>4347</v>
      </c>
      <c r="Q52" s="123">
        <v>0</v>
      </c>
      <c r="R52" s="123">
        <v>0</v>
      </c>
      <c r="S52" s="123">
        <v>0</v>
      </c>
      <c r="T52" s="123">
        <v>0</v>
      </c>
      <c r="U52" s="141">
        <v>0</v>
      </c>
      <c r="V52" s="141">
        <v>0</v>
      </c>
      <c r="W52" s="123">
        <v>0</v>
      </c>
      <c r="X52" s="123">
        <v>0</v>
      </c>
      <c r="Y52" s="123">
        <v>0</v>
      </c>
      <c r="Z52" s="123">
        <v>0</v>
      </c>
      <c r="AA52" s="154">
        <v>0</v>
      </c>
      <c r="AB52" s="142">
        <v>0</v>
      </c>
      <c r="AC52" s="154">
        <v>0</v>
      </c>
      <c r="AD52" s="143">
        <v>0</v>
      </c>
      <c r="AE52" s="418">
        <v>30</v>
      </c>
      <c r="AF52" s="144"/>
      <c r="AG52" s="144"/>
    </row>
    <row r="53" spans="1:33" s="128" customFormat="1" ht="20.25" customHeight="1">
      <c r="A53" s="77">
        <v>31</v>
      </c>
      <c r="B53" s="56" t="s">
        <v>106</v>
      </c>
      <c r="C53" s="129">
        <f t="shared" si="18"/>
        <v>11</v>
      </c>
      <c r="D53" s="138">
        <f t="shared" si="18"/>
        <v>54620</v>
      </c>
      <c r="E53" s="139">
        <v>8</v>
      </c>
      <c r="F53" s="140">
        <v>45475</v>
      </c>
      <c r="G53" s="123">
        <v>0</v>
      </c>
      <c r="H53" s="123">
        <v>0</v>
      </c>
      <c r="I53" s="123">
        <v>0</v>
      </c>
      <c r="J53" s="123">
        <v>0</v>
      </c>
      <c r="K53" s="123">
        <v>0</v>
      </c>
      <c r="L53" s="123">
        <v>0</v>
      </c>
      <c r="M53" s="124">
        <v>2</v>
      </c>
      <c r="N53" s="123">
        <v>3055</v>
      </c>
      <c r="O53" s="123">
        <v>1</v>
      </c>
      <c r="P53" s="123">
        <v>6090</v>
      </c>
      <c r="Q53" s="123">
        <v>0</v>
      </c>
      <c r="R53" s="123">
        <v>0</v>
      </c>
      <c r="S53" s="123">
        <v>0</v>
      </c>
      <c r="T53" s="123">
        <v>0</v>
      </c>
      <c r="U53" s="141">
        <v>0</v>
      </c>
      <c r="V53" s="141">
        <v>0</v>
      </c>
      <c r="W53" s="123">
        <v>0</v>
      </c>
      <c r="X53" s="123">
        <v>0</v>
      </c>
      <c r="Y53" s="123">
        <v>0</v>
      </c>
      <c r="Z53" s="123">
        <v>0</v>
      </c>
      <c r="AA53" s="123">
        <v>0</v>
      </c>
      <c r="AB53" s="142">
        <v>0</v>
      </c>
      <c r="AC53" s="123">
        <v>0</v>
      </c>
      <c r="AD53" s="143">
        <v>0</v>
      </c>
      <c r="AE53" s="418">
        <v>31</v>
      </c>
      <c r="AF53" s="144"/>
      <c r="AG53" s="144"/>
    </row>
    <row r="54" spans="1:33" s="128" customFormat="1" ht="20.25" customHeight="1">
      <c r="A54" s="77">
        <v>32</v>
      </c>
      <c r="B54" s="56" t="s">
        <v>107</v>
      </c>
      <c r="C54" s="129">
        <f t="shared" si="18"/>
        <v>12</v>
      </c>
      <c r="D54" s="138">
        <f t="shared" si="18"/>
        <v>91139</v>
      </c>
      <c r="E54" s="139">
        <v>10</v>
      </c>
      <c r="F54" s="140">
        <v>85858</v>
      </c>
      <c r="G54" s="123">
        <v>0</v>
      </c>
      <c r="H54" s="123">
        <v>0</v>
      </c>
      <c r="I54" s="123">
        <v>0</v>
      </c>
      <c r="J54" s="123">
        <v>0</v>
      </c>
      <c r="K54" s="123">
        <v>0</v>
      </c>
      <c r="L54" s="123">
        <v>0</v>
      </c>
      <c r="M54" s="123">
        <v>1</v>
      </c>
      <c r="N54" s="123">
        <v>451</v>
      </c>
      <c r="O54" s="123">
        <v>1</v>
      </c>
      <c r="P54" s="123">
        <v>4830</v>
      </c>
      <c r="Q54" s="123">
        <v>0</v>
      </c>
      <c r="R54" s="123">
        <v>0</v>
      </c>
      <c r="S54" s="123">
        <v>0</v>
      </c>
      <c r="T54" s="123">
        <v>0</v>
      </c>
      <c r="U54" s="141">
        <v>0</v>
      </c>
      <c r="V54" s="141">
        <v>0</v>
      </c>
      <c r="W54" s="123">
        <v>0</v>
      </c>
      <c r="X54" s="123">
        <v>0</v>
      </c>
      <c r="Y54" s="123">
        <v>0</v>
      </c>
      <c r="Z54" s="123">
        <v>0</v>
      </c>
      <c r="AA54" s="123">
        <v>0</v>
      </c>
      <c r="AB54" s="142">
        <v>0</v>
      </c>
      <c r="AC54" s="123">
        <v>0</v>
      </c>
      <c r="AD54" s="143">
        <v>0</v>
      </c>
      <c r="AE54" s="418">
        <v>32</v>
      </c>
      <c r="AF54" s="144"/>
      <c r="AG54" s="144"/>
    </row>
    <row r="55" spans="1:33" s="128" customFormat="1" ht="20.25" customHeight="1">
      <c r="A55" s="77"/>
      <c r="B55" s="80"/>
      <c r="C55" s="129"/>
      <c r="D55" s="138"/>
      <c r="E55" s="124"/>
      <c r="F55" s="123"/>
      <c r="G55" s="124"/>
      <c r="H55" s="123"/>
      <c r="I55" s="124"/>
      <c r="J55" s="123"/>
      <c r="K55" s="123"/>
      <c r="L55" s="123"/>
      <c r="M55" s="124"/>
      <c r="N55" s="123"/>
      <c r="O55" s="123"/>
      <c r="P55" s="123"/>
      <c r="Q55" s="123"/>
      <c r="R55" s="123"/>
      <c r="S55" s="123"/>
      <c r="T55" s="123"/>
      <c r="U55" s="124"/>
      <c r="V55" s="124"/>
      <c r="W55" s="123"/>
      <c r="X55" s="123"/>
      <c r="Y55" s="123"/>
      <c r="Z55" s="123"/>
      <c r="AA55" s="123"/>
      <c r="AB55" s="142"/>
      <c r="AC55" s="123"/>
      <c r="AD55" s="143"/>
      <c r="AE55" s="418"/>
      <c r="AF55" s="144"/>
      <c r="AG55" s="144"/>
    </row>
    <row r="56" spans="1:33" s="132" customFormat="1" ht="20.25" customHeight="1">
      <c r="A56" s="537" t="s">
        <v>269</v>
      </c>
      <c r="B56" s="538"/>
      <c r="C56" s="129">
        <f aca="true" t="shared" si="20" ref="C56:D60">+E56+G56+I56+K56+M56+O56+Q56+S56+U56+W56+Y56+AA56+AC56</f>
        <v>50</v>
      </c>
      <c r="D56" s="138">
        <f t="shared" si="20"/>
        <v>238344</v>
      </c>
      <c r="E56" s="129">
        <f aca="true" t="shared" si="21" ref="E56:J56">SUM(E57:E60)</f>
        <v>42</v>
      </c>
      <c r="F56" s="129">
        <f t="shared" si="21"/>
        <v>208834</v>
      </c>
      <c r="G56" s="129">
        <f t="shared" si="21"/>
        <v>1</v>
      </c>
      <c r="H56" s="129">
        <f t="shared" si="21"/>
        <v>2242</v>
      </c>
      <c r="I56" s="129">
        <f t="shared" si="21"/>
        <v>0</v>
      </c>
      <c r="J56" s="129">
        <f t="shared" si="21"/>
        <v>0</v>
      </c>
      <c r="K56" s="129">
        <f aca="true" t="shared" si="22" ref="K56:AD56">SUM(K57:K60)</f>
        <v>1</v>
      </c>
      <c r="L56" s="129">
        <f t="shared" si="22"/>
        <v>3939</v>
      </c>
      <c r="M56" s="129">
        <f t="shared" si="22"/>
        <v>3</v>
      </c>
      <c r="N56" s="129">
        <f t="shared" si="22"/>
        <v>12557</v>
      </c>
      <c r="O56" s="129">
        <f t="shared" si="22"/>
        <v>3</v>
      </c>
      <c r="P56" s="129">
        <f t="shared" si="22"/>
        <v>10772</v>
      </c>
      <c r="Q56" s="129">
        <f t="shared" si="22"/>
        <v>0</v>
      </c>
      <c r="R56" s="129">
        <f t="shared" si="22"/>
        <v>0</v>
      </c>
      <c r="S56" s="129">
        <f t="shared" si="22"/>
        <v>0</v>
      </c>
      <c r="T56" s="129">
        <f t="shared" si="22"/>
        <v>0</v>
      </c>
      <c r="U56" s="129">
        <f t="shared" si="22"/>
        <v>0</v>
      </c>
      <c r="V56" s="129">
        <f t="shared" si="22"/>
        <v>0</v>
      </c>
      <c r="W56" s="129">
        <f t="shared" si="22"/>
        <v>0</v>
      </c>
      <c r="X56" s="129">
        <f t="shared" si="22"/>
        <v>0</v>
      </c>
      <c r="Y56" s="129">
        <f t="shared" si="22"/>
        <v>0</v>
      </c>
      <c r="Z56" s="129">
        <f t="shared" si="22"/>
        <v>0</v>
      </c>
      <c r="AA56" s="129">
        <f t="shared" si="22"/>
        <v>0</v>
      </c>
      <c r="AB56" s="129">
        <f t="shared" si="22"/>
        <v>0</v>
      </c>
      <c r="AC56" s="129">
        <f t="shared" si="22"/>
        <v>0</v>
      </c>
      <c r="AD56" s="129">
        <f t="shared" si="22"/>
        <v>0</v>
      </c>
      <c r="AE56" s="419"/>
      <c r="AF56" s="153"/>
      <c r="AG56" s="153"/>
    </row>
    <row r="57" spans="1:33" s="128" customFormat="1" ht="20.25" customHeight="1">
      <c r="A57" s="77">
        <v>33</v>
      </c>
      <c r="B57" s="56" t="s">
        <v>108</v>
      </c>
      <c r="C57" s="129">
        <f t="shared" si="20"/>
        <v>7</v>
      </c>
      <c r="D57" s="138">
        <f t="shared" si="20"/>
        <v>31762</v>
      </c>
      <c r="E57" s="124">
        <v>5</v>
      </c>
      <c r="F57" s="140">
        <v>27132</v>
      </c>
      <c r="G57" s="154">
        <v>0</v>
      </c>
      <c r="H57" s="123">
        <v>0</v>
      </c>
      <c r="I57" s="123">
        <v>0</v>
      </c>
      <c r="J57" s="123">
        <v>0</v>
      </c>
      <c r="K57" s="123">
        <v>0</v>
      </c>
      <c r="L57" s="123">
        <v>0</v>
      </c>
      <c r="M57" s="124">
        <v>1</v>
      </c>
      <c r="N57" s="123">
        <v>976</v>
      </c>
      <c r="O57" s="123">
        <v>1</v>
      </c>
      <c r="P57" s="123">
        <v>3654</v>
      </c>
      <c r="Q57" s="123">
        <v>0</v>
      </c>
      <c r="R57" s="123">
        <v>0</v>
      </c>
      <c r="S57" s="123">
        <v>0</v>
      </c>
      <c r="T57" s="123">
        <v>0</v>
      </c>
      <c r="U57" s="141">
        <v>0</v>
      </c>
      <c r="V57" s="141">
        <v>0</v>
      </c>
      <c r="W57" s="123">
        <v>0</v>
      </c>
      <c r="X57" s="123">
        <v>0</v>
      </c>
      <c r="Y57" s="123">
        <v>0</v>
      </c>
      <c r="Z57" s="123">
        <v>0</v>
      </c>
      <c r="AA57" s="154">
        <v>0</v>
      </c>
      <c r="AB57" s="142">
        <v>0</v>
      </c>
      <c r="AC57" s="154">
        <v>0</v>
      </c>
      <c r="AD57" s="143">
        <v>0</v>
      </c>
      <c r="AE57" s="418">
        <v>33</v>
      </c>
      <c r="AF57" s="144"/>
      <c r="AG57" s="144"/>
    </row>
    <row r="58" spans="1:61" ht="20.25" customHeight="1">
      <c r="A58" s="77">
        <v>34</v>
      </c>
      <c r="B58" s="56" t="s">
        <v>109</v>
      </c>
      <c r="C58" s="129">
        <f t="shared" si="20"/>
        <v>20</v>
      </c>
      <c r="D58" s="138">
        <f t="shared" si="20"/>
        <v>101729</v>
      </c>
      <c r="E58" s="124">
        <v>17</v>
      </c>
      <c r="F58" s="140">
        <v>93534</v>
      </c>
      <c r="G58" s="154">
        <v>1</v>
      </c>
      <c r="H58" s="123">
        <v>2242</v>
      </c>
      <c r="I58" s="123">
        <v>0</v>
      </c>
      <c r="J58" s="123">
        <v>0</v>
      </c>
      <c r="K58" s="123">
        <v>0</v>
      </c>
      <c r="L58" s="123">
        <v>0</v>
      </c>
      <c r="M58" s="124">
        <v>1</v>
      </c>
      <c r="N58" s="123">
        <v>2499</v>
      </c>
      <c r="O58" s="123">
        <v>1</v>
      </c>
      <c r="P58" s="123">
        <v>3454</v>
      </c>
      <c r="Q58" s="123">
        <v>0</v>
      </c>
      <c r="R58" s="123">
        <v>0</v>
      </c>
      <c r="S58" s="123">
        <v>0</v>
      </c>
      <c r="T58" s="123">
        <v>0</v>
      </c>
      <c r="U58" s="141">
        <v>0</v>
      </c>
      <c r="V58" s="141">
        <v>0</v>
      </c>
      <c r="W58" s="123">
        <v>0</v>
      </c>
      <c r="X58" s="123">
        <v>0</v>
      </c>
      <c r="Y58" s="123">
        <v>0</v>
      </c>
      <c r="Z58" s="123">
        <v>0</v>
      </c>
      <c r="AA58" s="154">
        <v>0</v>
      </c>
      <c r="AB58" s="142">
        <v>0</v>
      </c>
      <c r="AC58" s="154">
        <v>0</v>
      </c>
      <c r="AD58" s="143">
        <v>0</v>
      </c>
      <c r="AE58" s="418">
        <v>34</v>
      </c>
      <c r="AF58" s="100"/>
      <c r="AG58" s="100"/>
      <c r="AH58" s="128"/>
      <c r="AI58" s="128"/>
      <c r="AJ58" s="128"/>
      <c r="AK58" s="128"/>
      <c r="AL58" s="128"/>
      <c r="AM58" s="128"/>
      <c r="AN58" s="128"/>
      <c r="AO58" s="128"/>
      <c r="AP58" s="128"/>
      <c r="AQ58" s="128"/>
      <c r="AR58" s="128"/>
      <c r="AS58" s="128"/>
      <c r="AT58" s="128"/>
      <c r="AU58" s="128"/>
      <c r="AV58" s="128"/>
      <c r="AW58" s="128"/>
      <c r="AX58" s="128"/>
      <c r="AY58" s="128"/>
      <c r="AZ58" s="128"/>
      <c r="BA58" s="128"/>
      <c r="BB58" s="128"/>
      <c r="BC58" s="128"/>
      <c r="BD58" s="128"/>
      <c r="BE58" s="128"/>
      <c r="BF58" s="128"/>
      <c r="BG58" s="128"/>
      <c r="BH58" s="128"/>
      <c r="BI58" s="128"/>
    </row>
    <row r="59" spans="1:61" ht="20.25" customHeight="1">
      <c r="A59" s="77">
        <v>35</v>
      </c>
      <c r="B59" s="56" t="s">
        <v>110</v>
      </c>
      <c r="C59" s="129">
        <f t="shared" si="20"/>
        <v>15</v>
      </c>
      <c r="D59" s="138">
        <f t="shared" si="20"/>
        <v>73636</v>
      </c>
      <c r="E59" s="124">
        <v>15</v>
      </c>
      <c r="F59" s="140">
        <v>73636</v>
      </c>
      <c r="G59" s="123">
        <v>0</v>
      </c>
      <c r="H59" s="123">
        <v>0</v>
      </c>
      <c r="I59" s="123">
        <v>0</v>
      </c>
      <c r="J59" s="123">
        <v>0</v>
      </c>
      <c r="K59" s="123">
        <v>0</v>
      </c>
      <c r="L59" s="123">
        <v>0</v>
      </c>
      <c r="M59" s="124">
        <v>0</v>
      </c>
      <c r="N59" s="123">
        <v>0</v>
      </c>
      <c r="O59" s="123">
        <v>0</v>
      </c>
      <c r="P59" s="123">
        <v>0</v>
      </c>
      <c r="Q59" s="123">
        <v>0</v>
      </c>
      <c r="R59" s="123">
        <v>0</v>
      </c>
      <c r="S59" s="123">
        <v>0</v>
      </c>
      <c r="T59" s="123">
        <v>0</v>
      </c>
      <c r="U59" s="141">
        <v>0</v>
      </c>
      <c r="V59" s="141">
        <v>0</v>
      </c>
      <c r="W59" s="123">
        <v>0</v>
      </c>
      <c r="X59" s="123">
        <v>0</v>
      </c>
      <c r="Y59" s="123">
        <v>0</v>
      </c>
      <c r="Z59" s="123">
        <v>0</v>
      </c>
      <c r="AA59" s="154">
        <v>0</v>
      </c>
      <c r="AB59" s="142">
        <v>0</v>
      </c>
      <c r="AC59" s="154">
        <v>0</v>
      </c>
      <c r="AD59" s="143">
        <v>0</v>
      </c>
      <c r="AE59" s="418">
        <v>35</v>
      </c>
      <c r="AF59" s="100"/>
      <c r="AG59" s="100"/>
      <c r="AH59" s="128"/>
      <c r="AI59" s="128"/>
      <c r="AJ59" s="128"/>
      <c r="AK59" s="128"/>
      <c r="AL59" s="128"/>
      <c r="AM59" s="128"/>
      <c r="AN59" s="128"/>
      <c r="AO59" s="128"/>
      <c r="AP59" s="128"/>
      <c r="AQ59" s="128"/>
      <c r="AR59" s="128"/>
      <c r="AS59" s="128"/>
      <c r="AT59" s="128"/>
      <c r="AU59" s="128"/>
      <c r="AV59" s="128"/>
      <c r="AW59" s="128"/>
      <c r="AX59" s="128"/>
      <c r="AY59" s="128"/>
      <c r="AZ59" s="128"/>
      <c r="BA59" s="128"/>
      <c r="BB59" s="128"/>
      <c r="BC59" s="128"/>
      <c r="BD59" s="128"/>
      <c r="BE59" s="128"/>
      <c r="BF59" s="128"/>
      <c r="BG59" s="128"/>
      <c r="BH59" s="128"/>
      <c r="BI59" s="128"/>
    </row>
    <row r="60" spans="1:61" ht="20.25" customHeight="1">
      <c r="A60" s="77">
        <v>36</v>
      </c>
      <c r="B60" s="56" t="s">
        <v>111</v>
      </c>
      <c r="C60" s="129">
        <f t="shared" si="20"/>
        <v>8</v>
      </c>
      <c r="D60" s="138">
        <f t="shared" si="20"/>
        <v>31217</v>
      </c>
      <c r="E60" s="124">
        <v>5</v>
      </c>
      <c r="F60" s="140">
        <v>14532</v>
      </c>
      <c r="G60" s="123">
        <v>0</v>
      </c>
      <c r="H60" s="123">
        <v>0</v>
      </c>
      <c r="I60" s="123">
        <v>0</v>
      </c>
      <c r="J60" s="123">
        <v>0</v>
      </c>
      <c r="K60" s="123">
        <v>1</v>
      </c>
      <c r="L60" s="123">
        <v>3939</v>
      </c>
      <c r="M60" s="123">
        <v>1</v>
      </c>
      <c r="N60" s="123">
        <v>9082</v>
      </c>
      <c r="O60" s="123">
        <v>1</v>
      </c>
      <c r="P60" s="123">
        <v>3664</v>
      </c>
      <c r="Q60" s="123">
        <v>0</v>
      </c>
      <c r="R60" s="123">
        <v>0</v>
      </c>
      <c r="S60" s="123">
        <v>0</v>
      </c>
      <c r="T60" s="123">
        <v>0</v>
      </c>
      <c r="U60" s="141">
        <v>0</v>
      </c>
      <c r="V60" s="141">
        <v>0</v>
      </c>
      <c r="W60" s="123">
        <v>0</v>
      </c>
      <c r="X60" s="123">
        <v>0</v>
      </c>
      <c r="Y60" s="123">
        <v>0</v>
      </c>
      <c r="Z60" s="123">
        <v>0</v>
      </c>
      <c r="AA60" s="154">
        <v>0</v>
      </c>
      <c r="AB60" s="142">
        <v>0</v>
      </c>
      <c r="AC60" s="123">
        <v>0</v>
      </c>
      <c r="AD60" s="143">
        <v>0</v>
      </c>
      <c r="AE60" s="418">
        <v>36</v>
      </c>
      <c r="AF60" s="100"/>
      <c r="AG60" s="100"/>
      <c r="AH60" s="128"/>
      <c r="AI60" s="128"/>
      <c r="AJ60" s="128"/>
      <c r="AK60" s="128"/>
      <c r="AL60" s="128"/>
      <c r="AM60" s="128"/>
      <c r="AN60" s="128"/>
      <c r="AO60" s="128"/>
      <c r="AP60" s="128"/>
      <c r="AQ60" s="128"/>
      <c r="AR60" s="128"/>
      <c r="AS60" s="128"/>
      <c r="AT60" s="128"/>
      <c r="AU60" s="128"/>
      <c r="AV60" s="128"/>
      <c r="AW60" s="128"/>
      <c r="AX60" s="128"/>
      <c r="AY60" s="128"/>
      <c r="AZ60" s="128"/>
      <c r="BA60" s="128"/>
      <c r="BB60" s="128"/>
      <c r="BC60" s="128"/>
      <c r="BD60" s="128"/>
      <c r="BE60" s="128"/>
      <c r="BF60" s="128"/>
      <c r="BG60" s="128"/>
      <c r="BH60" s="128"/>
      <c r="BI60" s="128"/>
    </row>
    <row r="61" spans="1:61" ht="20.25" customHeight="1" thickBot="1">
      <c r="A61" s="86"/>
      <c r="B61" s="87"/>
      <c r="C61" s="146"/>
      <c r="D61" s="146"/>
      <c r="E61" s="147"/>
      <c r="F61" s="148"/>
      <c r="G61" s="147"/>
      <c r="H61" s="148"/>
      <c r="I61" s="147"/>
      <c r="J61" s="148"/>
      <c r="K61" s="148"/>
      <c r="L61" s="148"/>
      <c r="M61" s="147"/>
      <c r="N61" s="148"/>
      <c r="O61" s="148"/>
      <c r="P61" s="148"/>
      <c r="Q61" s="148"/>
      <c r="R61" s="147"/>
      <c r="S61" s="148"/>
      <c r="T61" s="147"/>
      <c r="U61" s="147"/>
      <c r="V61" s="147"/>
      <c r="W61" s="148"/>
      <c r="X61" s="147"/>
      <c r="Y61" s="148"/>
      <c r="Z61" s="147"/>
      <c r="AA61" s="148"/>
      <c r="AB61" s="155"/>
      <c r="AC61" s="148"/>
      <c r="AD61" s="156"/>
      <c r="AE61" s="421"/>
      <c r="AF61" s="100"/>
      <c r="AG61" s="100"/>
      <c r="AH61" s="128"/>
      <c r="AI61" s="128"/>
      <c r="AJ61" s="128"/>
      <c r="AK61" s="128"/>
      <c r="AL61" s="128"/>
      <c r="AM61" s="128"/>
      <c r="AN61" s="128"/>
      <c r="AO61" s="128"/>
      <c r="AP61" s="128"/>
      <c r="AQ61" s="128"/>
      <c r="AR61" s="128"/>
      <c r="AS61" s="128"/>
      <c r="AT61" s="128"/>
      <c r="AU61" s="128"/>
      <c r="AV61" s="128"/>
      <c r="AW61" s="128"/>
      <c r="AX61" s="128"/>
      <c r="AY61" s="128"/>
      <c r="AZ61" s="128"/>
      <c r="BA61" s="128"/>
      <c r="BB61" s="128"/>
      <c r="BC61" s="128"/>
      <c r="BD61" s="128"/>
      <c r="BE61" s="128"/>
      <c r="BF61" s="128"/>
      <c r="BG61" s="128"/>
      <c r="BH61" s="128"/>
      <c r="BI61" s="128"/>
    </row>
    <row r="62" spans="1:33" s="132" customFormat="1" ht="20.25" customHeight="1" thickBot="1">
      <c r="A62" s="563" t="s">
        <v>262</v>
      </c>
      <c r="B62" s="564"/>
      <c r="C62" s="405">
        <f>+E62+G62+I62+K62+M62+O62+Q62+S62+U62+W62+Y62+AA62+AC62</f>
        <v>1</v>
      </c>
      <c r="D62" s="406">
        <f>+F62+H62+J62+L62+N62+P62+R62+T62+V62+X62+Z62+AB62+AD62</f>
        <v>8715</v>
      </c>
      <c r="E62" s="405">
        <f>SUM(E63:E66)</f>
        <v>0</v>
      </c>
      <c r="F62" s="405">
        <f>SUM(F63:F66)</f>
        <v>0</v>
      </c>
      <c r="G62" s="405">
        <f>SUM(G63:G66)</f>
        <v>0</v>
      </c>
      <c r="H62" s="405">
        <f>SUM(H63:H66)</f>
        <v>0</v>
      </c>
      <c r="I62" s="405">
        <v>0</v>
      </c>
      <c r="J62" s="405">
        <f aca="true" t="shared" si="23" ref="J62:T62">SUM(J63:J66)</f>
        <v>0</v>
      </c>
      <c r="K62" s="405">
        <f t="shared" si="23"/>
        <v>0</v>
      </c>
      <c r="L62" s="405">
        <f t="shared" si="23"/>
        <v>0</v>
      </c>
      <c r="M62" s="405">
        <f t="shared" si="23"/>
        <v>0</v>
      </c>
      <c r="N62" s="405">
        <f t="shared" si="23"/>
        <v>0</v>
      </c>
      <c r="O62" s="405">
        <f t="shared" si="23"/>
        <v>0</v>
      </c>
      <c r="P62" s="405">
        <f t="shared" si="23"/>
        <v>0</v>
      </c>
      <c r="Q62" s="405">
        <f t="shared" si="23"/>
        <v>0</v>
      </c>
      <c r="R62" s="405">
        <f t="shared" si="23"/>
        <v>0</v>
      </c>
      <c r="S62" s="405">
        <f t="shared" si="23"/>
        <v>0</v>
      </c>
      <c r="T62" s="405">
        <f t="shared" si="23"/>
        <v>0</v>
      </c>
      <c r="U62" s="405">
        <v>1</v>
      </c>
      <c r="V62" s="405">
        <v>8715</v>
      </c>
      <c r="W62" s="405">
        <f aca="true" t="shared" si="24" ref="W62:AD62">SUM(W63:W66)</f>
        <v>0</v>
      </c>
      <c r="X62" s="405">
        <f t="shared" si="24"/>
        <v>0</v>
      </c>
      <c r="Y62" s="405">
        <f t="shared" si="24"/>
        <v>0</v>
      </c>
      <c r="Z62" s="405">
        <f t="shared" si="24"/>
        <v>0</v>
      </c>
      <c r="AA62" s="405">
        <f t="shared" si="24"/>
        <v>0</v>
      </c>
      <c r="AB62" s="405">
        <f t="shared" si="24"/>
        <v>0</v>
      </c>
      <c r="AC62" s="405">
        <f t="shared" si="24"/>
        <v>0</v>
      </c>
      <c r="AD62" s="405">
        <f t="shared" si="24"/>
        <v>0</v>
      </c>
      <c r="AE62" s="407"/>
      <c r="AF62" s="153"/>
      <c r="AG62" s="153"/>
    </row>
    <row r="63" spans="1:61" ht="13.5">
      <c r="A63" s="35"/>
      <c r="B63" s="157"/>
      <c r="C63" s="158" t="s">
        <v>120</v>
      </c>
      <c r="D63" s="105"/>
      <c r="E63" s="159"/>
      <c r="F63" s="160"/>
      <c r="G63" s="159"/>
      <c r="H63" s="160"/>
      <c r="I63" s="159"/>
      <c r="J63" s="160"/>
      <c r="K63" s="104"/>
      <c r="L63" s="160"/>
      <c r="M63" s="159"/>
      <c r="N63" s="160"/>
      <c r="O63" s="104"/>
      <c r="P63" s="160"/>
      <c r="Q63" s="104"/>
      <c r="R63" s="160"/>
      <c r="S63" s="104"/>
      <c r="T63" s="160"/>
      <c r="U63" s="159"/>
      <c r="V63" s="160"/>
      <c r="W63" s="104"/>
      <c r="X63" s="160"/>
      <c r="Y63" s="104"/>
      <c r="Z63" s="160"/>
      <c r="AA63" s="104"/>
      <c r="AB63" s="160"/>
      <c r="AC63" s="104"/>
      <c r="AD63" s="160"/>
      <c r="AE63" s="37"/>
      <c r="AF63" s="100"/>
      <c r="AG63" s="100"/>
      <c r="AH63" s="128"/>
      <c r="AI63" s="128"/>
      <c r="AJ63" s="128"/>
      <c r="AK63" s="128"/>
      <c r="AL63" s="128"/>
      <c r="AM63" s="128"/>
      <c r="AN63" s="128"/>
      <c r="AO63" s="128"/>
      <c r="AP63" s="128"/>
      <c r="AQ63" s="128"/>
      <c r="AR63" s="128"/>
      <c r="AS63" s="128"/>
      <c r="AT63" s="128"/>
      <c r="AU63" s="128"/>
      <c r="AV63" s="128"/>
      <c r="AW63" s="128"/>
      <c r="AX63" s="128"/>
      <c r="AY63" s="128"/>
      <c r="AZ63" s="128"/>
      <c r="BA63" s="128"/>
      <c r="BB63" s="128"/>
      <c r="BC63" s="128"/>
      <c r="BD63" s="128"/>
      <c r="BE63" s="128"/>
      <c r="BF63" s="128"/>
      <c r="BG63" s="128"/>
      <c r="BH63" s="128"/>
      <c r="BI63" s="128"/>
    </row>
    <row r="64" spans="1:61" ht="13.5">
      <c r="A64" s="91"/>
      <c r="B64" s="90"/>
      <c r="C64" s="104"/>
      <c r="D64" s="105"/>
      <c r="E64" s="104"/>
      <c r="F64" s="105"/>
      <c r="G64" s="104"/>
      <c r="H64" s="105"/>
      <c r="I64" s="104"/>
      <c r="J64" s="105"/>
      <c r="K64" s="104"/>
      <c r="L64" s="160"/>
      <c r="M64" s="104"/>
      <c r="N64" s="105"/>
      <c r="O64" s="104"/>
      <c r="P64" s="160"/>
      <c r="Q64" s="104"/>
      <c r="R64" s="160"/>
      <c r="S64" s="104"/>
      <c r="T64" s="160"/>
      <c r="U64" s="104"/>
      <c r="V64" s="105"/>
      <c r="W64" s="104"/>
      <c r="X64" s="160"/>
      <c r="Y64" s="104"/>
      <c r="Z64" s="160"/>
      <c r="AA64" s="104"/>
      <c r="AB64" s="160"/>
      <c r="AC64" s="104"/>
      <c r="AD64" s="160"/>
      <c r="AE64" s="43"/>
      <c r="AF64" s="100"/>
      <c r="AG64" s="100"/>
      <c r="AH64" s="128"/>
      <c r="AI64" s="128"/>
      <c r="AJ64" s="128"/>
      <c r="AK64" s="128"/>
      <c r="AL64" s="128"/>
      <c r="AM64" s="128"/>
      <c r="AN64" s="128"/>
      <c r="AO64" s="128"/>
      <c r="AP64" s="128"/>
      <c r="AQ64" s="128"/>
      <c r="AR64" s="128"/>
      <c r="AS64" s="128"/>
      <c r="AT64" s="128"/>
      <c r="AU64" s="128"/>
      <c r="AV64" s="128"/>
      <c r="AW64" s="128">
        <v>0</v>
      </c>
      <c r="AX64" s="128">
        <v>0</v>
      </c>
      <c r="AY64" s="128"/>
      <c r="AZ64" s="128">
        <v>0</v>
      </c>
      <c r="BA64" s="128">
        <v>0</v>
      </c>
      <c r="BB64" s="128">
        <v>0</v>
      </c>
      <c r="BC64" s="128"/>
      <c r="BD64" s="128"/>
      <c r="BE64" s="128"/>
      <c r="BF64" s="128"/>
      <c r="BG64" s="128"/>
      <c r="BH64" s="128"/>
      <c r="BI64" s="128"/>
    </row>
    <row r="65" spans="1:61" ht="13.5">
      <c r="A65" s="128"/>
      <c r="B65" s="161"/>
      <c r="C65" s="128"/>
      <c r="D65" s="162"/>
      <c r="E65" s="128"/>
      <c r="F65" s="162"/>
      <c r="G65" s="128"/>
      <c r="H65" s="162"/>
      <c r="I65" s="128"/>
      <c r="J65" s="162"/>
      <c r="K65" s="128"/>
      <c r="L65" s="163"/>
      <c r="M65" s="128"/>
      <c r="N65" s="162"/>
      <c r="O65" s="128"/>
      <c r="P65" s="163"/>
      <c r="Q65" s="128"/>
      <c r="R65" s="163"/>
      <c r="S65" s="128"/>
      <c r="T65" s="163"/>
      <c r="U65" s="128"/>
      <c r="V65" s="162"/>
      <c r="W65" s="128"/>
      <c r="X65" s="163"/>
      <c r="Y65" s="128"/>
      <c r="Z65" s="163"/>
      <c r="AA65" s="128"/>
      <c r="AB65" s="163"/>
      <c r="AC65" s="128"/>
      <c r="AD65" s="163"/>
      <c r="AE65" s="40"/>
      <c r="AH65" s="128"/>
      <c r="AI65" s="128"/>
      <c r="AJ65" s="128"/>
      <c r="AK65" s="128"/>
      <c r="AL65" s="128"/>
      <c r="AM65" s="128"/>
      <c r="AN65" s="128"/>
      <c r="AO65" s="128"/>
      <c r="AP65" s="128"/>
      <c r="AQ65" s="128"/>
      <c r="AR65" s="128"/>
      <c r="AS65" s="128"/>
      <c r="AT65" s="128"/>
      <c r="AU65" s="128"/>
      <c r="AV65" s="128"/>
      <c r="AW65" s="128"/>
      <c r="AX65" s="128"/>
      <c r="AY65" s="128"/>
      <c r="AZ65" s="128"/>
      <c r="BA65" s="128"/>
      <c r="BB65" s="128"/>
      <c r="BC65" s="128"/>
      <c r="BD65" s="128"/>
      <c r="BE65" s="128"/>
      <c r="BF65" s="128"/>
      <c r="BG65" s="128"/>
      <c r="BH65" s="128"/>
      <c r="BI65" s="128"/>
    </row>
    <row r="66" spans="1:61" ht="13.5">
      <c r="A66" s="128"/>
      <c r="B66" s="161"/>
      <c r="C66" s="128"/>
      <c r="D66" s="162"/>
      <c r="E66" s="128"/>
      <c r="F66" s="162"/>
      <c r="G66" s="128"/>
      <c r="H66" s="162"/>
      <c r="I66" s="128"/>
      <c r="J66" s="162"/>
      <c r="K66" s="128"/>
      <c r="L66" s="163"/>
      <c r="M66" s="128"/>
      <c r="N66" s="162"/>
      <c r="O66" s="128"/>
      <c r="P66" s="163"/>
      <c r="Q66" s="128"/>
      <c r="R66" s="163"/>
      <c r="S66" s="128"/>
      <c r="T66" s="163"/>
      <c r="U66" s="128"/>
      <c r="V66" s="162"/>
      <c r="W66" s="128"/>
      <c r="X66" s="163"/>
      <c r="Y66" s="128"/>
      <c r="Z66" s="163"/>
      <c r="AA66" s="128"/>
      <c r="AB66" s="163"/>
      <c r="AC66" s="128"/>
      <c r="AD66" s="163"/>
      <c r="AE66" s="33"/>
      <c r="AH66" s="128"/>
      <c r="AI66" s="128"/>
      <c r="AJ66" s="128"/>
      <c r="AK66" s="128"/>
      <c r="AL66" s="128"/>
      <c r="AM66" s="128"/>
      <c r="AN66" s="128"/>
      <c r="AO66" s="128"/>
      <c r="AP66" s="128"/>
      <c r="AQ66" s="128"/>
      <c r="AR66" s="128"/>
      <c r="AS66" s="128"/>
      <c r="AT66" s="128"/>
      <c r="AU66" s="128"/>
      <c r="AV66" s="128"/>
      <c r="AW66" s="128"/>
      <c r="AX66" s="128"/>
      <c r="AY66" s="128"/>
      <c r="AZ66" s="128"/>
      <c r="BA66" s="128"/>
      <c r="BB66" s="128"/>
      <c r="BC66" s="128"/>
      <c r="BD66" s="128"/>
      <c r="BE66" s="128"/>
      <c r="BF66" s="128"/>
      <c r="BG66" s="128"/>
      <c r="BH66" s="128"/>
      <c r="BI66" s="128"/>
    </row>
    <row r="67" spans="1:61" ht="13.5">
      <c r="A67" s="128"/>
      <c r="B67" s="161"/>
      <c r="C67" s="128"/>
      <c r="D67" s="162"/>
      <c r="E67" s="128"/>
      <c r="F67" s="162"/>
      <c r="G67" s="128"/>
      <c r="H67" s="162"/>
      <c r="I67" s="128"/>
      <c r="J67" s="162"/>
      <c r="K67" s="128"/>
      <c r="L67" s="163"/>
      <c r="M67" s="128"/>
      <c r="N67" s="162"/>
      <c r="O67" s="128"/>
      <c r="P67" s="163"/>
      <c r="Q67" s="128"/>
      <c r="R67" s="163"/>
      <c r="S67" s="128"/>
      <c r="T67" s="163"/>
      <c r="U67" s="128"/>
      <c r="V67" s="162"/>
      <c r="W67" s="128"/>
      <c r="X67" s="163"/>
      <c r="Y67" s="128"/>
      <c r="Z67" s="163"/>
      <c r="AA67" s="128"/>
      <c r="AB67" s="163"/>
      <c r="AC67" s="128"/>
      <c r="AD67" s="163"/>
      <c r="AE67" s="40"/>
      <c r="AH67" s="128"/>
      <c r="AI67" s="128"/>
      <c r="AJ67" s="128"/>
      <c r="AK67" s="128"/>
      <c r="AL67" s="128"/>
      <c r="AM67" s="128"/>
      <c r="AN67" s="128"/>
      <c r="AO67" s="128"/>
      <c r="AP67" s="128"/>
      <c r="AQ67" s="128"/>
      <c r="AR67" s="128"/>
      <c r="AS67" s="128"/>
      <c r="AT67" s="128"/>
      <c r="AU67" s="128"/>
      <c r="AV67" s="128"/>
      <c r="AW67" s="128"/>
      <c r="AX67" s="128"/>
      <c r="AY67" s="128"/>
      <c r="AZ67" s="128"/>
      <c r="BA67" s="128"/>
      <c r="BB67" s="128"/>
      <c r="BC67" s="128"/>
      <c r="BD67" s="128"/>
      <c r="BE67" s="128"/>
      <c r="BF67" s="128"/>
      <c r="BG67" s="128"/>
      <c r="BH67" s="128"/>
      <c r="BI67" s="128"/>
    </row>
    <row r="68" spans="1:61" ht="13.5">
      <c r="A68" s="128"/>
      <c r="B68" s="161"/>
      <c r="C68" s="128"/>
      <c r="D68" s="162"/>
      <c r="E68" s="128"/>
      <c r="F68" s="162"/>
      <c r="G68" s="128"/>
      <c r="H68" s="162"/>
      <c r="I68" s="128"/>
      <c r="J68" s="162"/>
      <c r="K68" s="128"/>
      <c r="L68" s="163"/>
      <c r="M68" s="128"/>
      <c r="N68" s="162"/>
      <c r="O68" s="128"/>
      <c r="P68" s="163"/>
      <c r="Q68" s="128"/>
      <c r="R68" s="163"/>
      <c r="S68" s="128"/>
      <c r="T68" s="163"/>
      <c r="U68" s="128"/>
      <c r="V68" s="162"/>
      <c r="W68" s="128"/>
      <c r="X68" s="163"/>
      <c r="Y68" s="128"/>
      <c r="Z68" s="163"/>
      <c r="AA68" s="128"/>
      <c r="AB68" s="163"/>
      <c r="AC68" s="128"/>
      <c r="AD68" s="163"/>
      <c r="AE68" s="40"/>
      <c r="AH68" s="128"/>
      <c r="AI68" s="128"/>
      <c r="AJ68" s="128"/>
      <c r="AK68" s="128"/>
      <c r="AL68" s="128"/>
      <c r="AM68" s="128"/>
      <c r="AN68" s="128"/>
      <c r="AO68" s="128"/>
      <c r="AP68" s="128"/>
      <c r="AQ68" s="128"/>
      <c r="AR68" s="128"/>
      <c r="AS68" s="128"/>
      <c r="AT68" s="128"/>
      <c r="AU68" s="128"/>
      <c r="AV68" s="128"/>
      <c r="AW68" s="128"/>
      <c r="AX68" s="128"/>
      <c r="AY68" s="128"/>
      <c r="AZ68" s="128"/>
      <c r="BA68" s="128"/>
      <c r="BB68" s="128"/>
      <c r="BC68" s="128"/>
      <c r="BD68" s="128"/>
      <c r="BE68" s="128"/>
      <c r="BF68" s="128"/>
      <c r="BG68" s="128"/>
      <c r="BH68" s="128"/>
      <c r="BI68" s="128"/>
    </row>
    <row r="69" ht="13.5">
      <c r="AE69" s="40"/>
    </row>
    <row r="70" ht="13.5">
      <c r="AE70" s="40"/>
    </row>
    <row r="71" ht="13.5">
      <c r="AE71" s="40"/>
    </row>
  </sheetData>
  <sheetProtection/>
  <mergeCells count="26">
    <mergeCell ref="A7:B7"/>
    <mergeCell ref="A33:B33"/>
    <mergeCell ref="A27:B27"/>
    <mergeCell ref="A17:B17"/>
    <mergeCell ref="A9:B9"/>
    <mergeCell ref="A62:B62"/>
    <mergeCell ref="A56:B56"/>
    <mergeCell ref="A51:B51"/>
    <mergeCell ref="A47:B47"/>
    <mergeCell ref="A6:B6"/>
    <mergeCell ref="AA3:AB3"/>
    <mergeCell ref="O3:P3"/>
    <mergeCell ref="Q3:R3"/>
    <mergeCell ref="S3:T3"/>
    <mergeCell ref="U3:V3"/>
    <mergeCell ref="I3:J3"/>
    <mergeCell ref="K3:L3"/>
    <mergeCell ref="M3:N3"/>
    <mergeCell ref="W3:X3"/>
    <mergeCell ref="AC3:AD3"/>
    <mergeCell ref="A5:B5"/>
    <mergeCell ref="Y3:Z3"/>
    <mergeCell ref="A3:B4"/>
    <mergeCell ref="C3:D3"/>
    <mergeCell ref="E3:F3"/>
    <mergeCell ref="G3:H3"/>
  </mergeCells>
  <printOptions horizontalCentered="1"/>
  <pageMargins left="0.5905511811023623" right="0.3937007874015748" top="0.7874015748031497" bottom="0.1968503937007874" header="0" footer="0"/>
  <pageSetup fitToWidth="2" horizontalDpi="600" verticalDpi="600" orientation="portrait" paperSize="9" scale="65" r:id="rId3"/>
  <colBreaks count="1" manualBreakCount="1">
    <brk id="14" max="64" man="1"/>
  </colBreaks>
  <legacyDrawing r:id="rId2"/>
</worksheet>
</file>

<file path=xl/worksheets/sheet4.xml><?xml version="1.0" encoding="utf-8"?>
<worksheet xmlns="http://schemas.openxmlformats.org/spreadsheetml/2006/main" xmlns:r="http://schemas.openxmlformats.org/officeDocument/2006/relationships">
  <dimension ref="A1:EO68"/>
  <sheetViews>
    <sheetView zoomScaleSheetLayoutView="150" zoomScalePageLayoutView="0" workbookViewId="0" topLeftCell="A1">
      <pane xSplit="2" ySplit="8" topLeftCell="C9" activePane="bottomRight" state="frozen"/>
      <selection pane="topLeft" activeCell="P47" sqref="P47"/>
      <selection pane="topRight" activeCell="P47" sqref="P47"/>
      <selection pane="bottomLeft" activeCell="P47" sqref="P47"/>
      <selection pane="bottomRight" activeCell="BM3" sqref="BM3"/>
    </sheetView>
  </sheetViews>
  <sheetFormatPr defaultColWidth="9.00390625" defaultRowHeight="13.5" customHeight="1"/>
  <cols>
    <col min="1" max="1" width="3.625" style="293" customWidth="1"/>
    <col min="2" max="2" width="11.625" style="712" customWidth="1"/>
    <col min="3" max="3" width="2.125" style="293" customWidth="1"/>
    <col min="4" max="4" width="7.625" style="293" customWidth="1"/>
    <col min="5" max="6" width="2.125" style="293" customWidth="1"/>
    <col min="7" max="7" width="7.625" style="293" customWidth="1"/>
    <col min="8" max="9" width="2.125" style="293" customWidth="1"/>
    <col min="10" max="10" width="3.125" style="293" customWidth="1"/>
    <col min="11" max="12" width="2.125" style="293" customWidth="1"/>
    <col min="13" max="13" width="7.625" style="293" customWidth="1"/>
    <col min="14" max="15" width="2.625" style="293" customWidth="1"/>
    <col min="16" max="16" width="7.625" style="293" customWidth="1"/>
    <col min="17" max="18" width="2.125" style="293" customWidth="1"/>
    <col min="19" max="19" width="7.625" style="293" customWidth="1"/>
    <col min="20" max="21" width="2.125" style="293" customWidth="1"/>
    <col min="22" max="22" width="7.625" style="293" customWidth="1"/>
    <col min="23" max="24" width="2.125" style="293" customWidth="1"/>
    <col min="25" max="25" width="3.125" style="293" customWidth="1"/>
    <col min="26" max="27" width="2.125" style="293" customWidth="1"/>
    <col min="28" max="28" width="7.625" style="293" customWidth="1"/>
    <col min="29" max="30" width="2.125" style="293" customWidth="1"/>
    <col min="31" max="31" width="7.625" style="293" customWidth="1"/>
    <col min="32" max="32" width="2.125" style="293" customWidth="1"/>
    <col min="33" max="33" width="2.625" style="293" customWidth="1"/>
    <col min="34" max="34" width="2.125" style="293" customWidth="1"/>
    <col min="35" max="35" width="8.625" style="293" customWidth="1"/>
    <col min="36" max="37" width="2.125" style="293" customWidth="1"/>
    <col min="38" max="38" width="8.625" style="293" customWidth="1"/>
    <col min="39" max="40" width="2.125" style="293" customWidth="1"/>
    <col min="41" max="41" width="3.125" style="293" customWidth="1"/>
    <col min="42" max="43" width="2.125" style="293" customWidth="1"/>
    <col min="44" max="44" width="8.625" style="293" customWidth="1"/>
    <col min="45" max="46" width="2.125" style="293" customWidth="1"/>
    <col min="47" max="47" width="8.625" style="293" customWidth="1"/>
    <col min="48" max="49" width="2.125" style="293" customWidth="1"/>
    <col min="50" max="50" width="8.625" style="293" customWidth="1"/>
    <col min="51" max="52" width="2.125" style="293" customWidth="1"/>
    <col min="53" max="53" width="8.625" style="293" customWidth="1"/>
    <col min="54" max="55" width="2.125" style="293" customWidth="1"/>
    <col min="56" max="56" width="3.125" style="293" customWidth="1"/>
    <col min="57" max="58" width="2.125" style="293" customWidth="1"/>
    <col min="59" max="59" width="8.625" style="293" customWidth="1"/>
    <col min="60" max="61" width="2.125" style="293" customWidth="1"/>
    <col min="62" max="62" width="8.625" style="293" customWidth="1"/>
    <col min="63" max="63" width="2.125" style="293" customWidth="1"/>
    <col min="64" max="64" width="3.625" style="293" customWidth="1"/>
    <col min="65" max="16384" width="9.00390625" style="293" customWidth="1"/>
  </cols>
  <sheetData>
    <row r="1" spans="1:64" ht="18" customHeight="1">
      <c r="A1" s="467" t="s">
        <v>306</v>
      </c>
      <c r="B1" s="195"/>
      <c r="C1" s="196"/>
      <c r="D1" s="196"/>
      <c r="E1" s="196"/>
      <c r="F1" s="196"/>
      <c r="G1" s="196"/>
      <c r="H1" s="196"/>
      <c r="I1" s="196"/>
      <c r="J1" s="196"/>
      <c r="K1" s="196"/>
      <c r="AT1" s="702"/>
      <c r="BG1" s="567" t="s">
        <v>290</v>
      </c>
      <c r="BH1" s="703"/>
      <c r="BI1" s="703"/>
      <c r="BJ1" s="703"/>
      <c r="BK1" s="703"/>
      <c r="BL1" s="703"/>
    </row>
    <row r="2" spans="1:35" ht="45" customHeight="1">
      <c r="A2" s="196"/>
      <c r="B2" s="195"/>
      <c r="C2" s="196"/>
      <c r="D2" s="196"/>
      <c r="E2" s="196"/>
      <c r="F2" s="196"/>
      <c r="G2" s="196"/>
      <c r="H2" s="196"/>
      <c r="I2" s="196"/>
      <c r="J2" s="196"/>
      <c r="K2" s="196"/>
      <c r="AI2" s="197" t="s">
        <v>128</v>
      </c>
    </row>
    <row r="3" spans="1:65" s="197" customFormat="1" ht="18" customHeight="1">
      <c r="A3" s="196" t="s">
        <v>129</v>
      </c>
      <c r="B3" s="198"/>
      <c r="C3" s="199"/>
      <c r="D3" s="199"/>
      <c r="E3" s="199"/>
      <c r="F3" s="199"/>
      <c r="G3" s="199"/>
      <c r="H3" s="199"/>
      <c r="I3" s="199"/>
      <c r="J3" s="199"/>
      <c r="K3" s="199"/>
      <c r="L3" s="200"/>
      <c r="M3" s="200"/>
      <c r="N3" s="200"/>
      <c r="O3" s="200"/>
      <c r="P3" s="200"/>
      <c r="Q3" s="200"/>
      <c r="R3" s="200"/>
      <c r="S3" s="200"/>
      <c r="T3" s="200"/>
      <c r="U3" s="199"/>
      <c r="V3" s="199"/>
      <c r="W3" s="199"/>
      <c r="X3" s="199"/>
      <c r="Y3" s="199"/>
      <c r="Z3" s="199"/>
      <c r="AA3" s="199"/>
      <c r="AB3" s="199"/>
      <c r="AC3" s="199"/>
      <c r="AD3" s="199"/>
      <c r="AE3" s="199"/>
      <c r="AF3" s="199"/>
      <c r="AG3" s="199"/>
      <c r="AH3" s="199"/>
      <c r="AI3" s="199" t="s">
        <v>130</v>
      </c>
      <c r="AJ3" s="199"/>
      <c r="AK3" s="199"/>
      <c r="AL3" s="199"/>
      <c r="AM3" s="199"/>
      <c r="AN3" s="199"/>
      <c r="AO3" s="199"/>
      <c r="AP3" s="199"/>
      <c r="AQ3" s="199"/>
      <c r="AR3" s="199"/>
      <c r="AS3" s="199"/>
      <c r="AT3" s="199"/>
      <c r="AU3" s="199"/>
      <c r="AV3" s="199"/>
      <c r="AW3" s="199"/>
      <c r="AX3" s="199"/>
      <c r="AY3" s="199"/>
      <c r="AZ3" s="199"/>
      <c r="BA3" s="199"/>
      <c r="BB3" s="199"/>
      <c r="BC3" s="199"/>
      <c r="BD3" s="199"/>
      <c r="BE3" s="199"/>
      <c r="BF3" s="199"/>
      <c r="BG3" s="199"/>
      <c r="BH3" s="199"/>
      <c r="BI3" s="199"/>
      <c r="BJ3" s="199"/>
      <c r="BK3" s="199"/>
      <c r="BL3" s="199"/>
      <c r="BM3" s="199"/>
    </row>
    <row r="4" spans="1:65" s="197" customFormat="1" ht="12">
      <c r="A4" s="199"/>
      <c r="B4" s="198"/>
      <c r="C4" s="199"/>
      <c r="D4" s="199"/>
      <c r="E4" s="199"/>
      <c r="F4" s="199"/>
      <c r="G4" s="199"/>
      <c r="H4" s="199"/>
      <c r="I4" s="199"/>
      <c r="J4" s="199"/>
      <c r="K4" s="199"/>
      <c r="L4" s="199"/>
      <c r="M4" s="199"/>
      <c r="N4" s="199"/>
      <c r="O4" s="199"/>
      <c r="P4" s="199"/>
      <c r="Q4" s="199"/>
      <c r="R4" s="199"/>
      <c r="S4" s="199"/>
      <c r="T4" s="199"/>
      <c r="U4" s="199"/>
      <c r="V4" s="199"/>
      <c r="W4" s="199"/>
      <c r="X4" s="199"/>
      <c r="Y4" s="199"/>
      <c r="Z4" s="199"/>
      <c r="AA4" s="199"/>
      <c r="AB4" s="199"/>
      <c r="AC4" s="199"/>
      <c r="AD4" s="199"/>
      <c r="AE4" s="199"/>
      <c r="AF4" s="199"/>
      <c r="AG4" s="199"/>
      <c r="AH4" s="199"/>
      <c r="AI4" s="199" t="s">
        <v>131</v>
      </c>
      <c r="AJ4" s="199"/>
      <c r="AK4" s="199"/>
      <c r="AL4" s="199"/>
      <c r="AM4" s="199"/>
      <c r="AN4" s="199"/>
      <c r="AO4" s="199"/>
      <c r="AP4" s="199"/>
      <c r="AQ4" s="199"/>
      <c r="AR4" s="199"/>
      <c r="AS4" s="199"/>
      <c r="AT4" s="199"/>
      <c r="AU4" s="199"/>
      <c r="AV4" s="199"/>
      <c r="AW4" s="199"/>
      <c r="AX4" s="199"/>
      <c r="AY4" s="199"/>
      <c r="AZ4" s="199"/>
      <c r="BA4" s="199"/>
      <c r="BB4" s="199"/>
      <c r="BC4" s="199"/>
      <c r="BD4" s="199"/>
      <c r="BE4" s="199"/>
      <c r="BF4" s="199"/>
      <c r="BG4" s="199"/>
      <c r="BH4" s="199"/>
      <c r="BI4" s="199"/>
      <c r="BJ4" s="199"/>
      <c r="BK4" s="199"/>
      <c r="BL4" s="199"/>
      <c r="BM4" s="199"/>
    </row>
    <row r="5" spans="1:65" s="197" customFormat="1" ht="13.5" customHeight="1" thickBot="1">
      <c r="A5" s="199"/>
      <c r="B5" s="198"/>
      <c r="C5" s="199"/>
      <c r="D5" s="199"/>
      <c r="E5" s="199"/>
      <c r="F5" s="199"/>
      <c r="G5" s="199"/>
      <c r="H5" s="199"/>
      <c r="I5" s="199"/>
      <c r="J5" s="199"/>
      <c r="K5" s="199"/>
      <c r="L5" s="199"/>
      <c r="M5" s="199"/>
      <c r="N5" s="199"/>
      <c r="O5" s="199"/>
      <c r="P5" s="199"/>
      <c r="Q5" s="199"/>
      <c r="R5" s="199"/>
      <c r="S5" s="199"/>
      <c r="T5" s="199"/>
      <c r="U5" s="199"/>
      <c r="V5" s="199"/>
      <c r="W5" s="199"/>
      <c r="X5" s="199"/>
      <c r="Y5" s="199"/>
      <c r="Z5" s="199"/>
      <c r="AA5" s="199"/>
      <c r="AB5" s="199"/>
      <c r="AC5" s="199"/>
      <c r="AD5" s="199"/>
      <c r="AE5" s="199"/>
      <c r="AF5" s="199"/>
      <c r="AG5" s="199"/>
      <c r="AH5" s="199"/>
      <c r="AI5" s="199"/>
      <c r="AJ5" s="199"/>
      <c r="AK5" s="199"/>
      <c r="AL5" s="199"/>
      <c r="AM5" s="199"/>
      <c r="AN5" s="199"/>
      <c r="AO5" s="199"/>
      <c r="AP5" s="199"/>
      <c r="AQ5" s="199"/>
      <c r="AR5" s="199"/>
      <c r="AS5" s="199"/>
      <c r="AT5" s="199"/>
      <c r="AU5" s="199"/>
      <c r="AV5" s="199"/>
      <c r="AW5" s="199"/>
      <c r="AX5" s="199"/>
      <c r="AY5" s="199"/>
      <c r="AZ5" s="199"/>
      <c r="BA5" s="199"/>
      <c r="BB5" s="199"/>
      <c r="BC5" s="199"/>
      <c r="BD5" s="199"/>
      <c r="BE5" s="199"/>
      <c r="BF5" s="199"/>
      <c r="BG5" s="199"/>
      <c r="BH5" s="199"/>
      <c r="BI5" s="199"/>
      <c r="BJ5" s="199"/>
      <c r="BK5" s="199"/>
      <c r="BL5" s="201" t="s">
        <v>132</v>
      </c>
      <c r="BM5" s="199"/>
    </row>
    <row r="6" spans="1:145" s="204" customFormat="1" ht="15.75" customHeight="1">
      <c r="A6" s="627" t="s">
        <v>133</v>
      </c>
      <c r="B6" s="628"/>
      <c r="C6" s="618" t="s">
        <v>134</v>
      </c>
      <c r="D6" s="619"/>
      <c r="E6" s="619"/>
      <c r="F6" s="619"/>
      <c r="G6" s="619"/>
      <c r="H6" s="619"/>
      <c r="I6" s="619"/>
      <c r="J6" s="619"/>
      <c r="K6" s="619"/>
      <c r="L6" s="619"/>
      <c r="M6" s="619"/>
      <c r="N6" s="619"/>
      <c r="O6" s="619"/>
      <c r="P6" s="619"/>
      <c r="Q6" s="620"/>
      <c r="R6" s="586" t="s">
        <v>135</v>
      </c>
      <c r="S6" s="704"/>
      <c r="T6" s="704"/>
      <c r="U6" s="704"/>
      <c r="V6" s="704"/>
      <c r="W6" s="704"/>
      <c r="X6" s="704"/>
      <c r="Y6" s="704"/>
      <c r="Z6" s="704"/>
      <c r="AA6" s="704"/>
      <c r="AB6" s="704"/>
      <c r="AC6" s="704"/>
      <c r="AD6" s="704"/>
      <c r="AE6" s="704"/>
      <c r="AF6" s="705"/>
      <c r="AG6" s="202"/>
      <c r="AH6" s="586" t="s">
        <v>136</v>
      </c>
      <c r="AI6" s="587"/>
      <c r="AJ6" s="587"/>
      <c r="AK6" s="587"/>
      <c r="AL6" s="587"/>
      <c r="AM6" s="587"/>
      <c r="AN6" s="587"/>
      <c r="AO6" s="587"/>
      <c r="AP6" s="587"/>
      <c r="AQ6" s="587"/>
      <c r="AR6" s="587"/>
      <c r="AS6" s="587"/>
      <c r="AT6" s="587"/>
      <c r="AU6" s="587"/>
      <c r="AV6" s="588"/>
      <c r="AW6" s="586" t="s">
        <v>137</v>
      </c>
      <c r="AX6" s="587"/>
      <c r="AY6" s="587"/>
      <c r="AZ6" s="587"/>
      <c r="BA6" s="587"/>
      <c r="BB6" s="587"/>
      <c r="BC6" s="587"/>
      <c r="BD6" s="587"/>
      <c r="BE6" s="587"/>
      <c r="BF6" s="587"/>
      <c r="BG6" s="587"/>
      <c r="BH6" s="587"/>
      <c r="BI6" s="587"/>
      <c r="BJ6" s="587"/>
      <c r="BK6" s="588"/>
      <c r="BL6" s="203"/>
      <c r="BM6" s="199"/>
      <c r="BN6" s="199"/>
      <c r="BO6" s="199"/>
      <c r="BP6" s="199"/>
      <c r="BQ6" s="199"/>
      <c r="BR6" s="199"/>
      <c r="BS6" s="199"/>
      <c r="BT6" s="199"/>
      <c r="BU6" s="199"/>
      <c r="BV6" s="199"/>
      <c r="BW6" s="199"/>
      <c r="BX6" s="199"/>
      <c r="BY6" s="199"/>
      <c r="BZ6" s="199"/>
      <c r="CA6" s="199"/>
      <c r="CB6" s="199"/>
      <c r="CC6" s="199"/>
      <c r="CD6" s="199"/>
      <c r="CE6" s="199"/>
      <c r="CF6" s="199"/>
      <c r="CG6" s="199"/>
      <c r="CH6" s="199"/>
      <c r="CI6" s="199"/>
      <c r="CJ6" s="199"/>
      <c r="CK6" s="199"/>
      <c r="CL6" s="199"/>
      <c r="CM6" s="199"/>
      <c r="CN6" s="199"/>
      <c r="CO6" s="199"/>
      <c r="CP6" s="199"/>
      <c r="CQ6" s="199"/>
      <c r="CR6" s="199"/>
      <c r="CS6" s="199"/>
      <c r="CT6" s="199"/>
      <c r="CU6" s="199"/>
      <c r="CV6" s="199"/>
      <c r="CW6" s="199"/>
      <c r="CX6" s="199"/>
      <c r="CY6" s="199"/>
      <c r="CZ6" s="199"/>
      <c r="DA6" s="199"/>
      <c r="DB6" s="199"/>
      <c r="DC6" s="199"/>
      <c r="DD6" s="199"/>
      <c r="DE6" s="199"/>
      <c r="DF6" s="199"/>
      <c r="DG6" s="199"/>
      <c r="DH6" s="199"/>
      <c r="DI6" s="199"/>
      <c r="DJ6" s="199"/>
      <c r="DK6" s="199"/>
      <c r="DL6" s="199"/>
      <c r="DM6" s="199"/>
      <c r="DN6" s="199"/>
      <c r="DO6" s="199"/>
      <c r="DP6" s="199"/>
      <c r="DQ6" s="199"/>
      <c r="DR6" s="199"/>
      <c r="DS6" s="199"/>
      <c r="DT6" s="199"/>
      <c r="DU6" s="199"/>
      <c r="DV6" s="199"/>
      <c r="DW6" s="199"/>
      <c r="DX6" s="199"/>
      <c r="DY6" s="199"/>
      <c r="DZ6" s="199"/>
      <c r="EA6" s="199"/>
      <c r="EB6" s="199"/>
      <c r="EC6" s="199"/>
      <c r="ED6" s="199"/>
      <c r="EE6" s="199"/>
      <c r="EF6" s="199"/>
      <c r="EG6" s="199"/>
      <c r="EH6" s="199"/>
      <c r="EI6" s="199"/>
      <c r="EJ6" s="199"/>
      <c r="EK6" s="199"/>
      <c r="EL6" s="199"/>
      <c r="EM6" s="199"/>
      <c r="EN6" s="199"/>
      <c r="EO6" s="199"/>
    </row>
    <row r="7" spans="1:145" s="204" customFormat="1" ht="15.75" customHeight="1">
      <c r="A7" s="646"/>
      <c r="B7" s="647"/>
      <c r="C7" s="598" t="s">
        <v>138</v>
      </c>
      <c r="D7" s="593"/>
      <c r="E7" s="599"/>
      <c r="F7" s="589" t="s">
        <v>139</v>
      </c>
      <c r="G7" s="590"/>
      <c r="H7" s="590"/>
      <c r="I7" s="590"/>
      <c r="J7" s="590"/>
      <c r="K7" s="590"/>
      <c r="L7" s="590"/>
      <c r="M7" s="590"/>
      <c r="N7" s="591"/>
      <c r="O7" s="592" t="s">
        <v>140</v>
      </c>
      <c r="P7" s="593"/>
      <c r="Q7" s="594"/>
      <c r="R7" s="598" t="s">
        <v>138</v>
      </c>
      <c r="S7" s="593"/>
      <c r="T7" s="599"/>
      <c r="U7" s="589" t="s">
        <v>139</v>
      </c>
      <c r="V7" s="590"/>
      <c r="W7" s="590"/>
      <c r="X7" s="590"/>
      <c r="Y7" s="590"/>
      <c r="Z7" s="590"/>
      <c r="AA7" s="590"/>
      <c r="AB7" s="590"/>
      <c r="AC7" s="591"/>
      <c r="AD7" s="592" t="s">
        <v>140</v>
      </c>
      <c r="AE7" s="593"/>
      <c r="AF7" s="594"/>
      <c r="AG7" s="205"/>
      <c r="AH7" s="598" t="s">
        <v>138</v>
      </c>
      <c r="AI7" s="593"/>
      <c r="AJ7" s="599"/>
      <c r="AK7" s="589" t="s">
        <v>139</v>
      </c>
      <c r="AL7" s="590"/>
      <c r="AM7" s="590"/>
      <c r="AN7" s="590"/>
      <c r="AO7" s="590"/>
      <c r="AP7" s="590"/>
      <c r="AQ7" s="590"/>
      <c r="AR7" s="590"/>
      <c r="AS7" s="591"/>
      <c r="AT7" s="592" t="s">
        <v>140</v>
      </c>
      <c r="AU7" s="593"/>
      <c r="AV7" s="594"/>
      <c r="AW7" s="598" t="s">
        <v>138</v>
      </c>
      <c r="AX7" s="593"/>
      <c r="AY7" s="599"/>
      <c r="AZ7" s="589" t="s">
        <v>139</v>
      </c>
      <c r="BA7" s="590"/>
      <c r="BB7" s="590"/>
      <c r="BC7" s="590"/>
      <c r="BD7" s="590"/>
      <c r="BE7" s="590"/>
      <c r="BF7" s="590"/>
      <c r="BG7" s="590"/>
      <c r="BH7" s="591"/>
      <c r="BI7" s="592" t="s">
        <v>140</v>
      </c>
      <c r="BJ7" s="593"/>
      <c r="BK7" s="594"/>
      <c r="BL7" s="206"/>
      <c r="BM7" s="199"/>
      <c r="BN7" s="199"/>
      <c r="BO7" s="199"/>
      <c r="BP7" s="199"/>
      <c r="BQ7" s="199"/>
      <c r="BR7" s="199"/>
      <c r="BS7" s="199"/>
      <c r="BT7" s="199"/>
      <c r="BU7" s="199"/>
      <c r="BV7" s="199"/>
      <c r="BW7" s="199"/>
      <c r="BX7" s="199"/>
      <c r="BY7" s="199"/>
      <c r="BZ7" s="199"/>
      <c r="CA7" s="199"/>
      <c r="CB7" s="199"/>
      <c r="CC7" s="199"/>
      <c r="CD7" s="199"/>
      <c r="CE7" s="199"/>
      <c r="CF7" s="199"/>
      <c r="CG7" s="199"/>
      <c r="CH7" s="199"/>
      <c r="CI7" s="199"/>
      <c r="CJ7" s="199"/>
      <c r="CK7" s="199"/>
      <c r="CL7" s="199"/>
      <c r="CM7" s="199"/>
      <c r="CN7" s="199"/>
      <c r="CO7" s="199"/>
      <c r="CP7" s="199"/>
      <c r="CQ7" s="199"/>
      <c r="CR7" s="199"/>
      <c r="CS7" s="199"/>
      <c r="CT7" s="199"/>
      <c r="CU7" s="199"/>
      <c r="CV7" s="199"/>
      <c r="CW7" s="199"/>
      <c r="CX7" s="199"/>
      <c r="CY7" s="199"/>
      <c r="CZ7" s="199"/>
      <c r="DA7" s="199"/>
      <c r="DB7" s="199"/>
      <c r="DC7" s="199"/>
      <c r="DD7" s="199"/>
      <c r="DE7" s="199"/>
      <c r="DF7" s="199"/>
      <c r="DG7" s="199"/>
      <c r="DH7" s="199"/>
      <c r="DI7" s="199"/>
      <c r="DJ7" s="199"/>
      <c r="DK7" s="199"/>
      <c r="DL7" s="199"/>
      <c r="DM7" s="199"/>
      <c r="DN7" s="199"/>
      <c r="DO7" s="199"/>
      <c r="DP7" s="199"/>
      <c r="DQ7" s="199"/>
      <c r="DR7" s="199"/>
      <c r="DS7" s="199"/>
      <c r="DT7" s="199"/>
      <c r="DU7" s="199"/>
      <c r="DV7" s="199"/>
      <c r="DW7" s="199"/>
      <c r="DX7" s="199"/>
      <c r="DY7" s="199"/>
      <c r="DZ7" s="199"/>
      <c r="EA7" s="199"/>
      <c r="EB7" s="199"/>
      <c r="EC7" s="199"/>
      <c r="ED7" s="199"/>
      <c r="EE7" s="199"/>
      <c r="EF7" s="199"/>
      <c r="EG7" s="199"/>
      <c r="EH7" s="199"/>
      <c r="EI7" s="199"/>
      <c r="EJ7" s="199"/>
      <c r="EK7" s="199"/>
      <c r="EL7" s="199"/>
      <c r="EM7" s="199"/>
      <c r="EN7" s="199"/>
      <c r="EO7" s="199"/>
    </row>
    <row r="8" spans="1:145" s="204" customFormat="1" ht="15.75" customHeight="1" thickBot="1">
      <c r="A8" s="648"/>
      <c r="B8" s="641"/>
      <c r="C8" s="648"/>
      <c r="D8" s="640"/>
      <c r="E8" s="649"/>
      <c r="F8" s="602" t="s">
        <v>141</v>
      </c>
      <c r="G8" s="603"/>
      <c r="H8" s="604"/>
      <c r="I8" s="602" t="s">
        <v>142</v>
      </c>
      <c r="J8" s="603"/>
      <c r="K8" s="604"/>
      <c r="L8" s="602" t="s">
        <v>143</v>
      </c>
      <c r="M8" s="603"/>
      <c r="N8" s="604"/>
      <c r="O8" s="639"/>
      <c r="P8" s="640"/>
      <c r="Q8" s="641"/>
      <c r="R8" s="648"/>
      <c r="S8" s="640"/>
      <c r="T8" s="649"/>
      <c r="U8" s="602" t="s">
        <v>141</v>
      </c>
      <c r="V8" s="603"/>
      <c r="W8" s="604"/>
      <c r="X8" s="602" t="s">
        <v>142</v>
      </c>
      <c r="Y8" s="603"/>
      <c r="Z8" s="604"/>
      <c r="AA8" s="602" t="s">
        <v>143</v>
      </c>
      <c r="AB8" s="603"/>
      <c r="AC8" s="604"/>
      <c r="AD8" s="639"/>
      <c r="AE8" s="640"/>
      <c r="AF8" s="641"/>
      <c r="AG8" s="297"/>
      <c r="AH8" s="600"/>
      <c r="AI8" s="596"/>
      <c r="AJ8" s="601"/>
      <c r="AK8" s="602" t="s">
        <v>141</v>
      </c>
      <c r="AL8" s="603"/>
      <c r="AM8" s="604"/>
      <c r="AN8" s="602" t="s">
        <v>142</v>
      </c>
      <c r="AO8" s="603"/>
      <c r="AP8" s="604"/>
      <c r="AQ8" s="602" t="s">
        <v>143</v>
      </c>
      <c r="AR8" s="603"/>
      <c r="AS8" s="604"/>
      <c r="AT8" s="595"/>
      <c r="AU8" s="596"/>
      <c r="AV8" s="597"/>
      <c r="AW8" s="600"/>
      <c r="AX8" s="596"/>
      <c r="AY8" s="601"/>
      <c r="AZ8" s="602" t="s">
        <v>141</v>
      </c>
      <c r="BA8" s="603"/>
      <c r="BB8" s="604"/>
      <c r="BC8" s="602" t="s">
        <v>142</v>
      </c>
      <c r="BD8" s="603"/>
      <c r="BE8" s="604"/>
      <c r="BF8" s="602" t="s">
        <v>143</v>
      </c>
      <c r="BG8" s="603"/>
      <c r="BH8" s="604"/>
      <c r="BI8" s="595"/>
      <c r="BJ8" s="596"/>
      <c r="BK8" s="597"/>
      <c r="BL8" s="207"/>
      <c r="BM8" s="199"/>
      <c r="BN8" s="199"/>
      <c r="BO8" s="199"/>
      <c r="BP8" s="199"/>
      <c r="BQ8" s="199"/>
      <c r="BR8" s="199"/>
      <c r="BS8" s="199"/>
      <c r="BT8" s="199"/>
      <c r="BU8" s="199"/>
      <c r="BV8" s="199"/>
      <c r="BW8" s="199"/>
      <c r="BX8" s="199"/>
      <c r="BY8" s="199"/>
      <c r="BZ8" s="199"/>
      <c r="CA8" s="199"/>
      <c r="CB8" s="199"/>
      <c r="CC8" s="199"/>
      <c r="CD8" s="199"/>
      <c r="CE8" s="199"/>
      <c r="CF8" s="199"/>
      <c r="CG8" s="199"/>
      <c r="CH8" s="199"/>
      <c r="CI8" s="199"/>
      <c r="CJ8" s="199"/>
      <c r="CK8" s="199"/>
      <c r="CL8" s="199"/>
      <c r="CM8" s="199"/>
      <c r="CN8" s="199"/>
      <c r="CO8" s="199"/>
      <c r="CP8" s="199"/>
      <c r="CQ8" s="199"/>
      <c r="CR8" s="199"/>
      <c r="CS8" s="199"/>
      <c r="CT8" s="199"/>
      <c r="CU8" s="199"/>
      <c r="CV8" s="199"/>
      <c r="CW8" s="199"/>
      <c r="CX8" s="199"/>
      <c r="CY8" s="199"/>
      <c r="CZ8" s="199"/>
      <c r="DA8" s="199"/>
      <c r="DB8" s="199"/>
      <c r="DC8" s="199"/>
      <c r="DD8" s="199"/>
      <c r="DE8" s="199"/>
      <c r="DF8" s="199"/>
      <c r="DG8" s="199"/>
      <c r="DH8" s="199"/>
      <c r="DI8" s="199"/>
      <c r="DJ8" s="199"/>
      <c r="DK8" s="199"/>
      <c r="DL8" s="199"/>
      <c r="DM8" s="199"/>
      <c r="DN8" s="199"/>
      <c r="DO8" s="199"/>
      <c r="DP8" s="199"/>
      <c r="DQ8" s="199"/>
      <c r="DR8" s="199"/>
      <c r="DS8" s="199"/>
      <c r="DT8" s="199"/>
      <c r="DU8" s="199"/>
      <c r="DV8" s="199"/>
      <c r="DW8" s="199"/>
      <c r="DX8" s="199"/>
      <c r="DY8" s="199"/>
      <c r="DZ8" s="199"/>
      <c r="EA8" s="199"/>
      <c r="EB8" s="199"/>
      <c r="EC8" s="199"/>
      <c r="ED8" s="199"/>
      <c r="EE8" s="199"/>
      <c r="EF8" s="199"/>
      <c r="EG8" s="199"/>
      <c r="EH8" s="199"/>
      <c r="EI8" s="199"/>
      <c r="EJ8" s="199"/>
      <c r="EK8" s="199"/>
      <c r="EL8" s="199"/>
      <c r="EM8" s="199"/>
      <c r="EN8" s="199"/>
      <c r="EO8" s="199"/>
    </row>
    <row r="9" spans="1:65" s="197" customFormat="1" ht="15.75" customHeight="1">
      <c r="A9" s="629" t="s">
        <v>144</v>
      </c>
      <c r="B9" s="630"/>
      <c r="C9" s="208" t="s">
        <v>145</v>
      </c>
      <c r="D9" s="209">
        <v>18945</v>
      </c>
      <c r="E9" s="209" t="s">
        <v>146</v>
      </c>
      <c r="F9" s="210" t="s">
        <v>145</v>
      </c>
      <c r="G9" s="209">
        <v>6732</v>
      </c>
      <c r="H9" s="422" t="s">
        <v>146</v>
      </c>
      <c r="I9" s="209" t="s">
        <v>145</v>
      </c>
      <c r="J9" s="209"/>
      <c r="K9" s="209" t="s">
        <v>146</v>
      </c>
      <c r="L9" s="210" t="s">
        <v>145</v>
      </c>
      <c r="M9" s="209">
        <v>6732</v>
      </c>
      <c r="N9" s="209" t="s">
        <v>146</v>
      </c>
      <c r="O9" s="210" t="s">
        <v>145</v>
      </c>
      <c r="P9" s="209">
        <v>12213</v>
      </c>
      <c r="Q9" s="211" t="s">
        <v>146</v>
      </c>
      <c r="R9" s="208"/>
      <c r="S9" s="209"/>
      <c r="T9" s="209"/>
      <c r="U9" s="210"/>
      <c r="V9" s="209"/>
      <c r="W9" s="209"/>
      <c r="X9" s="210"/>
      <c r="Y9" s="209"/>
      <c r="Z9" s="209"/>
      <c r="AA9" s="210"/>
      <c r="AB9" s="209"/>
      <c r="AC9" s="209"/>
      <c r="AD9" s="210"/>
      <c r="AE9" s="209"/>
      <c r="AF9" s="211"/>
      <c r="AG9" s="209"/>
      <c r="AH9" s="208" t="s">
        <v>145</v>
      </c>
      <c r="AI9" s="209"/>
      <c r="AJ9" s="209" t="s">
        <v>146</v>
      </c>
      <c r="AK9" s="210" t="s">
        <v>145</v>
      </c>
      <c r="AL9" s="209"/>
      <c r="AM9" s="209" t="s">
        <v>146</v>
      </c>
      <c r="AN9" s="210" t="s">
        <v>145</v>
      </c>
      <c r="AO9" s="209"/>
      <c r="AP9" s="209" t="s">
        <v>146</v>
      </c>
      <c r="AQ9" s="210" t="s">
        <v>145</v>
      </c>
      <c r="AR9" s="209"/>
      <c r="AS9" s="209" t="s">
        <v>146</v>
      </c>
      <c r="AT9" s="210" t="s">
        <v>145</v>
      </c>
      <c r="AU9" s="209"/>
      <c r="AV9" s="211" t="s">
        <v>146</v>
      </c>
      <c r="AW9" s="209" t="s">
        <v>145</v>
      </c>
      <c r="AX9" s="209"/>
      <c r="AY9" s="209" t="s">
        <v>146</v>
      </c>
      <c r="AZ9" s="210" t="s">
        <v>145</v>
      </c>
      <c r="BA9" s="209"/>
      <c r="BB9" s="209" t="s">
        <v>146</v>
      </c>
      <c r="BC9" s="210" t="s">
        <v>145</v>
      </c>
      <c r="BD9" s="209"/>
      <c r="BE9" s="209" t="s">
        <v>146</v>
      </c>
      <c r="BF9" s="210" t="s">
        <v>145</v>
      </c>
      <c r="BG9" s="209"/>
      <c r="BH9" s="209" t="s">
        <v>146</v>
      </c>
      <c r="BI9" s="210" t="s">
        <v>145</v>
      </c>
      <c r="BJ9" s="209"/>
      <c r="BK9" s="211" t="s">
        <v>146</v>
      </c>
      <c r="BL9" s="605" t="s">
        <v>307</v>
      </c>
      <c r="BM9" s="199"/>
    </row>
    <row r="10" spans="1:65" s="197" customFormat="1" ht="15.75" customHeight="1" thickBot="1">
      <c r="A10" s="629"/>
      <c r="B10" s="630"/>
      <c r="C10" s="208"/>
      <c r="D10" s="209">
        <v>210230</v>
      </c>
      <c r="E10" s="209"/>
      <c r="F10" s="212"/>
      <c r="G10" s="209">
        <v>119675</v>
      </c>
      <c r="H10" s="423"/>
      <c r="I10" s="209"/>
      <c r="J10" s="209">
        <v>22</v>
      </c>
      <c r="K10" s="209"/>
      <c r="L10" s="212"/>
      <c r="M10" s="209">
        <v>119696</v>
      </c>
      <c r="N10" s="209"/>
      <c r="O10" s="212"/>
      <c r="P10" s="209">
        <v>90534</v>
      </c>
      <c r="Q10" s="211"/>
      <c r="R10" s="208"/>
      <c r="S10" s="209">
        <v>154583</v>
      </c>
      <c r="T10" s="209"/>
      <c r="U10" s="212"/>
      <c r="V10" s="209">
        <v>95888</v>
      </c>
      <c r="W10" s="209"/>
      <c r="X10" s="212"/>
      <c r="Y10" s="209">
        <v>3</v>
      </c>
      <c r="Z10" s="209"/>
      <c r="AA10" s="212"/>
      <c r="AB10" s="209">
        <v>95891</v>
      </c>
      <c r="AC10" s="209"/>
      <c r="AD10" s="212"/>
      <c r="AE10" s="209">
        <v>58692</v>
      </c>
      <c r="AF10" s="211"/>
      <c r="AG10" s="209"/>
      <c r="AH10" s="208"/>
      <c r="AI10" s="209">
        <v>49515</v>
      </c>
      <c r="AJ10" s="209"/>
      <c r="AK10" s="212"/>
      <c r="AL10" s="209">
        <v>21336</v>
      </c>
      <c r="AM10" s="209"/>
      <c r="AN10" s="212"/>
      <c r="AO10" s="209">
        <v>17</v>
      </c>
      <c r="AP10" s="209"/>
      <c r="AQ10" s="212"/>
      <c r="AR10" s="209">
        <v>21353</v>
      </c>
      <c r="AS10" s="209"/>
      <c r="AT10" s="212"/>
      <c r="AU10" s="209">
        <v>28162</v>
      </c>
      <c r="AV10" s="211"/>
      <c r="AW10" s="209"/>
      <c r="AX10" s="209">
        <v>1109</v>
      </c>
      <c r="AY10" s="209"/>
      <c r="AZ10" s="212"/>
      <c r="BA10" s="209">
        <v>587</v>
      </c>
      <c r="BB10" s="209"/>
      <c r="BC10" s="212"/>
      <c r="BD10" s="209"/>
      <c r="BE10" s="209"/>
      <c r="BF10" s="212"/>
      <c r="BG10" s="209">
        <v>587</v>
      </c>
      <c r="BH10" s="209"/>
      <c r="BI10" s="212"/>
      <c r="BJ10" s="209">
        <v>522</v>
      </c>
      <c r="BK10" s="211"/>
      <c r="BL10" s="606"/>
      <c r="BM10" s="199"/>
    </row>
    <row r="11" spans="1:65" s="197" customFormat="1" ht="15.75" customHeight="1">
      <c r="A11" s="621" t="s">
        <v>147</v>
      </c>
      <c r="B11" s="622"/>
      <c r="C11" s="213" t="s">
        <v>308</v>
      </c>
      <c r="D11" s="214">
        <v>19347</v>
      </c>
      <c r="E11" s="214" t="s">
        <v>309</v>
      </c>
      <c r="F11" s="210" t="s">
        <v>308</v>
      </c>
      <c r="G11" s="214">
        <v>6916</v>
      </c>
      <c r="H11" s="422" t="s">
        <v>309</v>
      </c>
      <c r="I11" s="214" t="s">
        <v>308</v>
      </c>
      <c r="J11" s="214">
        <v>6</v>
      </c>
      <c r="K11" s="214" t="s">
        <v>309</v>
      </c>
      <c r="L11" s="210" t="s">
        <v>308</v>
      </c>
      <c r="M11" s="214">
        <v>6922</v>
      </c>
      <c r="N11" s="214" t="s">
        <v>309</v>
      </c>
      <c r="O11" s="210" t="s">
        <v>308</v>
      </c>
      <c r="P11" s="214">
        <v>12425</v>
      </c>
      <c r="Q11" s="215" t="s">
        <v>309</v>
      </c>
      <c r="R11" s="213"/>
      <c r="S11" s="214"/>
      <c r="T11" s="214"/>
      <c r="U11" s="210"/>
      <c r="V11" s="214"/>
      <c r="W11" s="214"/>
      <c r="X11" s="210"/>
      <c r="Y11" s="214"/>
      <c r="Z11" s="214"/>
      <c r="AA11" s="210"/>
      <c r="AB11" s="214"/>
      <c r="AC11" s="214"/>
      <c r="AD11" s="210"/>
      <c r="AE11" s="214"/>
      <c r="AF11" s="215"/>
      <c r="AG11" s="209"/>
      <c r="AH11" s="213" t="s">
        <v>308</v>
      </c>
      <c r="AI11" s="214"/>
      <c r="AJ11" s="214" t="s">
        <v>309</v>
      </c>
      <c r="AK11" s="210" t="s">
        <v>308</v>
      </c>
      <c r="AL11" s="214"/>
      <c r="AM11" s="214" t="s">
        <v>309</v>
      </c>
      <c r="AN11" s="210" t="s">
        <v>308</v>
      </c>
      <c r="AO11" s="214"/>
      <c r="AP11" s="214" t="s">
        <v>309</v>
      </c>
      <c r="AQ11" s="210" t="s">
        <v>308</v>
      </c>
      <c r="AR11" s="214"/>
      <c r="AS11" s="214" t="s">
        <v>309</v>
      </c>
      <c r="AT11" s="210" t="s">
        <v>308</v>
      </c>
      <c r="AU11" s="214"/>
      <c r="AV11" s="215" t="s">
        <v>309</v>
      </c>
      <c r="AW11" s="214" t="s">
        <v>308</v>
      </c>
      <c r="AX11" s="214"/>
      <c r="AY11" s="214" t="s">
        <v>309</v>
      </c>
      <c r="AZ11" s="210" t="s">
        <v>308</v>
      </c>
      <c r="BA11" s="214"/>
      <c r="BB11" s="214" t="s">
        <v>309</v>
      </c>
      <c r="BC11" s="210" t="s">
        <v>308</v>
      </c>
      <c r="BD11" s="214"/>
      <c r="BE11" s="214" t="s">
        <v>309</v>
      </c>
      <c r="BF11" s="210" t="s">
        <v>308</v>
      </c>
      <c r="BG11" s="214"/>
      <c r="BH11" s="214" t="s">
        <v>309</v>
      </c>
      <c r="BI11" s="210" t="s">
        <v>308</v>
      </c>
      <c r="BJ11" s="214"/>
      <c r="BK11" s="215" t="s">
        <v>309</v>
      </c>
      <c r="BL11" s="605" t="s">
        <v>310</v>
      </c>
      <c r="BM11" s="199"/>
    </row>
    <row r="12" spans="1:65" s="197" customFormat="1" ht="15.75" customHeight="1" thickBot="1">
      <c r="A12" s="623"/>
      <c r="B12" s="624"/>
      <c r="C12" s="216"/>
      <c r="D12" s="217">
        <v>220465</v>
      </c>
      <c r="E12" s="217"/>
      <c r="F12" s="218"/>
      <c r="G12" s="217">
        <v>128587</v>
      </c>
      <c r="H12" s="424"/>
      <c r="I12" s="217"/>
      <c r="J12" s="217">
        <v>138</v>
      </c>
      <c r="K12" s="217"/>
      <c r="L12" s="218"/>
      <c r="M12" s="217">
        <v>128725</v>
      </c>
      <c r="N12" s="217"/>
      <c r="O12" s="218"/>
      <c r="P12" s="217">
        <v>91740</v>
      </c>
      <c r="Q12" s="219"/>
      <c r="R12" s="216"/>
      <c r="S12" s="217">
        <v>164271</v>
      </c>
      <c r="T12" s="217"/>
      <c r="U12" s="218"/>
      <c r="V12" s="217">
        <v>104894</v>
      </c>
      <c r="W12" s="217"/>
      <c r="X12" s="218"/>
      <c r="Y12" s="217">
        <v>32</v>
      </c>
      <c r="Z12" s="217"/>
      <c r="AA12" s="218"/>
      <c r="AB12" s="217">
        <v>104926</v>
      </c>
      <c r="AC12" s="217"/>
      <c r="AD12" s="218"/>
      <c r="AE12" s="217">
        <v>59345</v>
      </c>
      <c r="AF12" s="219"/>
      <c r="AG12" s="209"/>
      <c r="AH12" s="216"/>
      <c r="AI12" s="217">
        <v>50050</v>
      </c>
      <c r="AJ12" s="217"/>
      <c r="AK12" s="218"/>
      <c r="AL12" s="217">
        <v>21238</v>
      </c>
      <c r="AM12" s="217"/>
      <c r="AN12" s="218"/>
      <c r="AO12" s="217">
        <v>103</v>
      </c>
      <c r="AP12" s="217"/>
      <c r="AQ12" s="218"/>
      <c r="AR12" s="217">
        <v>21341</v>
      </c>
      <c r="AS12" s="217"/>
      <c r="AT12" s="218"/>
      <c r="AU12" s="217">
        <v>28709</v>
      </c>
      <c r="AV12" s="219"/>
      <c r="AW12" s="217"/>
      <c r="AX12" s="217">
        <v>1118</v>
      </c>
      <c r="AY12" s="217"/>
      <c r="AZ12" s="218"/>
      <c r="BA12" s="217">
        <v>587</v>
      </c>
      <c r="BB12" s="217"/>
      <c r="BC12" s="218"/>
      <c r="BD12" s="217">
        <v>1</v>
      </c>
      <c r="BE12" s="217"/>
      <c r="BF12" s="218"/>
      <c r="BG12" s="217">
        <v>588</v>
      </c>
      <c r="BH12" s="217"/>
      <c r="BI12" s="218"/>
      <c r="BJ12" s="217">
        <v>531</v>
      </c>
      <c r="BK12" s="219"/>
      <c r="BL12" s="606"/>
      <c r="BM12" s="199"/>
    </row>
    <row r="13" spans="1:64" s="228" customFormat="1" ht="15.75" customHeight="1">
      <c r="A13" s="625" t="s">
        <v>278</v>
      </c>
      <c r="B13" s="626"/>
      <c r="C13" s="220" t="s">
        <v>145</v>
      </c>
      <c r="D13" s="220">
        <f>M13+P13</f>
        <v>19357.832738999998</v>
      </c>
      <c r="E13" s="220" t="s">
        <v>146</v>
      </c>
      <c r="F13" s="221" t="s">
        <v>145</v>
      </c>
      <c r="G13" s="220">
        <f>V13+AL13+BA13+その３!G13+その３!V13+その３!AL13+その３!BA13+その３!BS13+その３!CH13+その３!CX13</f>
        <v>6918.230299999998</v>
      </c>
      <c r="H13" s="222" t="s">
        <v>146</v>
      </c>
      <c r="I13" s="220" t="s">
        <v>145</v>
      </c>
      <c r="J13" s="220">
        <f>Y13+AO13+BD13+その３!J13+その３!Y13+その３!AO13+その３!BD13+その３!BV13+その３!CK13+その３!DA13</f>
        <v>8.216939</v>
      </c>
      <c r="K13" s="220" t="s">
        <v>146</v>
      </c>
      <c r="L13" s="221" t="s">
        <v>145</v>
      </c>
      <c r="M13" s="220">
        <f>G13+J13</f>
        <v>6926.447238999998</v>
      </c>
      <c r="N13" s="220" t="s">
        <v>146</v>
      </c>
      <c r="O13" s="223" t="s">
        <v>145</v>
      </c>
      <c r="P13" s="220">
        <f>AE13+AU13+BJ13+その３!P13+その３!AE13+その３!AU13+その３!BJ13+その３!CB13+その３!CQ13+その３!DG13</f>
        <v>12431.385499999999</v>
      </c>
      <c r="Q13" s="224" t="s">
        <v>146</v>
      </c>
      <c r="R13" s="225"/>
      <c r="S13" s="220"/>
      <c r="T13" s="220"/>
      <c r="U13" s="221"/>
      <c r="V13" s="220"/>
      <c r="W13" s="220"/>
      <c r="X13" s="221"/>
      <c r="Y13" s="220"/>
      <c r="Z13" s="220"/>
      <c r="AA13" s="221"/>
      <c r="AB13" s="220"/>
      <c r="AC13" s="220"/>
      <c r="AD13" s="221"/>
      <c r="AE13" s="220"/>
      <c r="AF13" s="226"/>
      <c r="AG13" s="220"/>
      <c r="AH13" s="225" t="s">
        <v>145</v>
      </c>
      <c r="AI13" s="220">
        <f>AR13+AU13</f>
        <v>2</v>
      </c>
      <c r="AJ13" s="220" t="s">
        <v>146</v>
      </c>
      <c r="AK13" s="221" t="s">
        <v>145</v>
      </c>
      <c r="AL13" s="220"/>
      <c r="AM13" s="220" t="s">
        <v>146</v>
      </c>
      <c r="AN13" s="221" t="s">
        <v>145</v>
      </c>
      <c r="AO13" s="220">
        <f>AO15+AO29+AO47+その２!AQ31</f>
        <v>2</v>
      </c>
      <c r="AP13" s="220" t="s">
        <v>146</v>
      </c>
      <c r="AQ13" s="221" t="s">
        <v>145</v>
      </c>
      <c r="AR13" s="220">
        <f aca="true" t="shared" si="0" ref="AR13:AR28">AL13+AO13</f>
        <v>2</v>
      </c>
      <c r="AS13" s="220" t="s">
        <v>146</v>
      </c>
      <c r="AT13" s="221" t="s">
        <v>145</v>
      </c>
      <c r="AU13" s="220"/>
      <c r="AV13" s="226" t="s">
        <v>146</v>
      </c>
      <c r="AW13" s="227" t="s">
        <v>145</v>
      </c>
      <c r="AX13" s="220"/>
      <c r="AY13" s="220" t="s">
        <v>146</v>
      </c>
      <c r="AZ13" s="221" t="s">
        <v>145</v>
      </c>
      <c r="BA13" s="220"/>
      <c r="BB13" s="220" t="s">
        <v>146</v>
      </c>
      <c r="BC13" s="221" t="s">
        <v>145</v>
      </c>
      <c r="BD13" s="220"/>
      <c r="BE13" s="220" t="s">
        <v>146</v>
      </c>
      <c r="BF13" s="221" t="s">
        <v>145</v>
      </c>
      <c r="BG13" s="220">
        <f>BA13+BD13</f>
        <v>0</v>
      </c>
      <c r="BH13" s="220" t="s">
        <v>146</v>
      </c>
      <c r="BI13" s="221" t="s">
        <v>145</v>
      </c>
      <c r="BJ13" s="220"/>
      <c r="BK13" s="226" t="s">
        <v>146</v>
      </c>
      <c r="BL13" s="607" t="s">
        <v>311</v>
      </c>
    </row>
    <row r="14" spans="1:64" s="228" customFormat="1" ht="15.75" customHeight="1" thickBot="1">
      <c r="A14" s="625"/>
      <c r="B14" s="626"/>
      <c r="C14" s="220"/>
      <c r="D14" s="220">
        <f>M14+P14-1</f>
        <v>230623.07701600005</v>
      </c>
      <c r="E14" s="220"/>
      <c r="F14" s="221"/>
      <c r="G14" s="220">
        <f>V14+AL14+BA14+その３!G14+その３!V14+その３!AL14+その３!BA14+その３!BS14+その３!CH14+その３!CX14+2</f>
        <v>137912.2719</v>
      </c>
      <c r="H14" s="222"/>
      <c r="I14" s="220"/>
      <c r="J14" s="220">
        <f>Y14+AO14+BD14+その３!J14+その３!Y14+その３!AO14+その３!BD14+その３!BV14+その３!CK14+その３!DA14-2</f>
        <v>306.531297</v>
      </c>
      <c r="K14" s="220"/>
      <c r="L14" s="221"/>
      <c r="M14" s="220">
        <f>AB14+AR14+BG14+その３!M14+その３!AB14+その３!AR14+その３!BG14+その３!BY14+その３!CN14+その３!DD14</f>
        <v>138219.32091600003</v>
      </c>
      <c r="N14" s="220"/>
      <c r="O14" s="223"/>
      <c r="P14" s="220">
        <f>AE14+AU14+BJ14+その３!P14+その３!AE14+その３!AU14+その３!BJ14+その３!CB14+その３!CQ14+その３!DG14</f>
        <v>92404.75610000001</v>
      </c>
      <c r="Q14" s="224"/>
      <c r="R14" s="225"/>
      <c r="S14" s="220">
        <f>AB14+AE14</f>
        <v>173736.41805000004</v>
      </c>
      <c r="T14" s="220"/>
      <c r="U14" s="221"/>
      <c r="V14" s="220">
        <f>V16+V30+V48+その２!V32</f>
        <v>114265.91370000002</v>
      </c>
      <c r="W14" s="220"/>
      <c r="X14" s="221"/>
      <c r="Y14" s="220">
        <f>Y16+Y30+Y48+その２!Y32</f>
        <v>72.12015</v>
      </c>
      <c r="Z14" s="220"/>
      <c r="AA14" s="221"/>
      <c r="AB14" s="220">
        <f>V14+Y14</f>
        <v>114338.03385000002</v>
      </c>
      <c r="AC14" s="220"/>
      <c r="AD14" s="221"/>
      <c r="AE14" s="220">
        <f>AE16+AE30+AE48+その２!AE32-1</f>
        <v>59398.3842</v>
      </c>
      <c r="AF14" s="226"/>
      <c r="AG14" s="220"/>
      <c r="AH14" s="225"/>
      <c r="AI14" s="220">
        <f>AR14+AU14</f>
        <v>50695.714005999995</v>
      </c>
      <c r="AJ14" s="220"/>
      <c r="AK14" s="221"/>
      <c r="AL14" s="220">
        <f>AL16+AL30+AL48+その２!AN32</f>
        <v>21198.9663</v>
      </c>
      <c r="AM14" s="220"/>
      <c r="AN14" s="221"/>
      <c r="AO14" s="220">
        <f>AO16+AO30+AO48+その２!AQ32</f>
        <v>222.310706</v>
      </c>
      <c r="AP14" s="220"/>
      <c r="AQ14" s="221"/>
      <c r="AR14" s="220">
        <f t="shared" si="0"/>
        <v>21421.277006</v>
      </c>
      <c r="AS14" s="220"/>
      <c r="AT14" s="221"/>
      <c r="AU14" s="220">
        <f>AU16+AU30+AU48+その２!AW32</f>
        <v>29274.436999999998</v>
      </c>
      <c r="AV14" s="226"/>
      <c r="AW14" s="425"/>
      <c r="AX14" s="220">
        <f>BG14+BJ14</f>
        <v>1123.318224</v>
      </c>
      <c r="AY14" s="220"/>
      <c r="AZ14" s="221"/>
      <c r="BA14" s="220">
        <f>BA16+BA30+BA48+その２!BC32</f>
        <v>576.6562</v>
      </c>
      <c r="BB14" s="220"/>
      <c r="BC14" s="221"/>
      <c r="BD14" s="220">
        <f>BD16+BD30+BD48+その２!BF32</f>
        <v>0.9152049999999999</v>
      </c>
      <c r="BE14" s="220"/>
      <c r="BF14" s="221"/>
      <c r="BG14" s="220">
        <f>BG16+BG30+BG48+その２!BI32</f>
        <v>578.089124</v>
      </c>
      <c r="BH14" s="220"/>
      <c r="BI14" s="221"/>
      <c r="BJ14" s="220">
        <f>BJ16+BJ30+BJ48+その２!BL32</f>
        <v>545.2291</v>
      </c>
      <c r="BK14" s="226"/>
      <c r="BL14" s="608"/>
    </row>
    <row r="15" spans="1:64" s="228" customFormat="1" ht="15.75" customHeight="1">
      <c r="A15" s="569" t="s">
        <v>148</v>
      </c>
      <c r="B15" s="581"/>
      <c r="C15" s="229" t="s">
        <v>145</v>
      </c>
      <c r="D15" s="230">
        <f aca="true" t="shared" si="1" ref="D15:D46">M15+P15</f>
        <v>9167.7164</v>
      </c>
      <c r="E15" s="231" t="s">
        <v>146</v>
      </c>
      <c r="F15" s="232" t="s">
        <v>145</v>
      </c>
      <c r="G15" s="230">
        <f>G17</f>
        <v>3090.4476999999997</v>
      </c>
      <c r="H15" s="231" t="s">
        <v>146</v>
      </c>
      <c r="I15" s="230" t="s">
        <v>145</v>
      </c>
      <c r="J15" s="230">
        <f>J17</f>
        <v>5.2233</v>
      </c>
      <c r="K15" s="230" t="s">
        <v>146</v>
      </c>
      <c r="L15" s="232" t="s">
        <v>145</v>
      </c>
      <c r="M15" s="230">
        <f aca="true" t="shared" si="2" ref="M15:M28">G15+J15</f>
        <v>3095.671</v>
      </c>
      <c r="N15" s="230" t="s">
        <v>146</v>
      </c>
      <c r="O15" s="233" t="s">
        <v>145</v>
      </c>
      <c r="P15" s="230">
        <f>P17</f>
        <v>6072.0454</v>
      </c>
      <c r="Q15" s="426" t="s">
        <v>146</v>
      </c>
      <c r="R15" s="227"/>
      <c r="S15" s="230"/>
      <c r="T15" s="230"/>
      <c r="U15" s="232"/>
      <c r="V15" s="230"/>
      <c r="W15" s="231"/>
      <c r="X15" s="230"/>
      <c r="Y15" s="230"/>
      <c r="Z15" s="230"/>
      <c r="AA15" s="232"/>
      <c r="AB15" s="230"/>
      <c r="AC15" s="230"/>
      <c r="AD15" s="233"/>
      <c r="AE15" s="230"/>
      <c r="AF15" s="234"/>
      <c r="AG15" s="224"/>
      <c r="AH15" s="227" t="s">
        <v>312</v>
      </c>
      <c r="AI15" s="230"/>
      <c r="AJ15" s="230" t="s">
        <v>313</v>
      </c>
      <c r="AK15" s="232" t="s">
        <v>312</v>
      </c>
      <c r="AL15" s="230"/>
      <c r="AM15" s="231" t="s">
        <v>313</v>
      </c>
      <c r="AN15" s="230" t="s">
        <v>312</v>
      </c>
      <c r="AO15" s="230">
        <f>AO17</f>
        <v>0</v>
      </c>
      <c r="AP15" s="230" t="s">
        <v>313</v>
      </c>
      <c r="AQ15" s="232" t="s">
        <v>312</v>
      </c>
      <c r="AR15" s="230">
        <f t="shared" si="0"/>
        <v>0</v>
      </c>
      <c r="AS15" s="230" t="s">
        <v>313</v>
      </c>
      <c r="AT15" s="233" t="s">
        <v>312</v>
      </c>
      <c r="AU15" s="230"/>
      <c r="AV15" s="234" t="s">
        <v>313</v>
      </c>
      <c r="AW15" s="227" t="s">
        <v>312</v>
      </c>
      <c r="AX15" s="230"/>
      <c r="AY15" s="230" t="s">
        <v>313</v>
      </c>
      <c r="AZ15" s="232" t="s">
        <v>312</v>
      </c>
      <c r="BA15" s="230"/>
      <c r="BB15" s="231" t="s">
        <v>313</v>
      </c>
      <c r="BC15" s="230" t="s">
        <v>312</v>
      </c>
      <c r="BD15" s="230"/>
      <c r="BE15" s="230" t="s">
        <v>313</v>
      </c>
      <c r="BF15" s="232" t="s">
        <v>312</v>
      </c>
      <c r="BG15" s="230">
        <f aca="true" t="shared" si="3" ref="BG15:BG46">BA15+BD15</f>
        <v>0</v>
      </c>
      <c r="BH15" s="230" t="s">
        <v>313</v>
      </c>
      <c r="BI15" s="233" t="s">
        <v>312</v>
      </c>
      <c r="BJ15" s="230"/>
      <c r="BK15" s="426" t="s">
        <v>313</v>
      </c>
      <c r="BL15" s="235"/>
    </row>
    <row r="16" spans="1:64" s="228" customFormat="1" ht="15.75" customHeight="1" thickBot="1">
      <c r="A16" s="582"/>
      <c r="B16" s="583"/>
      <c r="C16" s="236"/>
      <c r="D16" s="237">
        <f t="shared" si="1"/>
        <v>102794.08855200002</v>
      </c>
      <c r="E16" s="237"/>
      <c r="F16" s="238"/>
      <c r="G16" s="237">
        <f>G18</f>
        <v>72657.96970000002</v>
      </c>
      <c r="H16" s="239"/>
      <c r="I16" s="237"/>
      <c r="J16" s="237">
        <f>J18</f>
        <v>70.776652</v>
      </c>
      <c r="K16" s="237"/>
      <c r="L16" s="238"/>
      <c r="M16" s="237">
        <f t="shared" si="2"/>
        <v>72728.74635200002</v>
      </c>
      <c r="N16" s="237"/>
      <c r="O16" s="240"/>
      <c r="P16" s="237">
        <f>P18</f>
        <v>30065.3422</v>
      </c>
      <c r="Q16" s="241"/>
      <c r="R16" s="225"/>
      <c r="S16" s="237">
        <f>S18</f>
        <v>88395.2406</v>
      </c>
      <c r="T16" s="220"/>
      <c r="U16" s="221"/>
      <c r="V16" s="220">
        <f>V18</f>
        <v>61295.845700000005</v>
      </c>
      <c r="W16" s="222"/>
      <c r="X16" s="220"/>
      <c r="Y16" s="220">
        <f>Y18</f>
        <v>14.837200000000001</v>
      </c>
      <c r="Z16" s="220"/>
      <c r="AA16" s="221"/>
      <c r="AB16" s="237">
        <f>V16+Y16</f>
        <v>61310.68290000001</v>
      </c>
      <c r="AC16" s="220"/>
      <c r="AD16" s="223"/>
      <c r="AE16" s="220">
        <f>AE18</f>
        <v>27084.5577</v>
      </c>
      <c r="AF16" s="242"/>
      <c r="AG16" s="224"/>
      <c r="AH16" s="225"/>
      <c r="AI16" s="237">
        <f>AR16+AU16</f>
        <v>13542.943844000001</v>
      </c>
      <c r="AJ16" s="220"/>
      <c r="AK16" s="221"/>
      <c r="AL16" s="220">
        <f>AL18</f>
        <v>10757.2816</v>
      </c>
      <c r="AM16" s="222"/>
      <c r="AN16" s="220"/>
      <c r="AO16" s="220">
        <f>AO18</f>
        <v>55.42204400000001</v>
      </c>
      <c r="AP16" s="220"/>
      <c r="AQ16" s="221"/>
      <c r="AR16" s="237">
        <f t="shared" si="0"/>
        <v>10812.703644000001</v>
      </c>
      <c r="AS16" s="220"/>
      <c r="AT16" s="223"/>
      <c r="AU16" s="220">
        <f>AU18</f>
        <v>2730.2401999999997</v>
      </c>
      <c r="AV16" s="242"/>
      <c r="AW16" s="225"/>
      <c r="AX16" s="237">
        <f>AX18</f>
        <v>121.46160799999998</v>
      </c>
      <c r="AY16" s="220"/>
      <c r="AZ16" s="221"/>
      <c r="BA16" s="220">
        <f>BA18</f>
        <v>80.2695</v>
      </c>
      <c r="BB16" s="222"/>
      <c r="BC16" s="220"/>
      <c r="BD16" s="220">
        <f>BD18</f>
        <v>0.127608</v>
      </c>
      <c r="BE16" s="220"/>
      <c r="BF16" s="221"/>
      <c r="BG16" s="237">
        <f t="shared" si="3"/>
        <v>80.39710799999999</v>
      </c>
      <c r="BH16" s="220"/>
      <c r="BI16" s="223"/>
      <c r="BJ16" s="220">
        <f>BJ18</f>
        <v>41.064499999999995</v>
      </c>
      <c r="BK16" s="224"/>
      <c r="BL16" s="243"/>
    </row>
    <row r="17" spans="1:65" s="245" customFormat="1" ht="15.75" customHeight="1">
      <c r="A17" s="569"/>
      <c r="B17" s="568" t="s">
        <v>289</v>
      </c>
      <c r="C17" s="229" t="s">
        <v>145</v>
      </c>
      <c r="D17" s="230">
        <f t="shared" si="1"/>
        <v>9167.7164</v>
      </c>
      <c r="E17" s="231" t="s">
        <v>146</v>
      </c>
      <c r="F17" s="232" t="s">
        <v>145</v>
      </c>
      <c r="G17" s="230">
        <f>G19+G21+G23+G25+G27</f>
        <v>3090.4476999999997</v>
      </c>
      <c r="H17" s="231" t="s">
        <v>146</v>
      </c>
      <c r="I17" s="230" t="s">
        <v>145</v>
      </c>
      <c r="J17" s="230">
        <f>J19+J21+J23+J25+J27</f>
        <v>5.2233</v>
      </c>
      <c r="K17" s="230" t="s">
        <v>146</v>
      </c>
      <c r="L17" s="232" t="s">
        <v>145</v>
      </c>
      <c r="M17" s="230">
        <f t="shared" si="2"/>
        <v>3095.671</v>
      </c>
      <c r="N17" s="230" t="s">
        <v>146</v>
      </c>
      <c r="O17" s="233" t="s">
        <v>145</v>
      </c>
      <c r="P17" s="230">
        <f>P19+P21+P23+P25+P27</f>
        <v>6072.0454</v>
      </c>
      <c r="Q17" s="426" t="s">
        <v>146</v>
      </c>
      <c r="R17" s="229"/>
      <c r="S17" s="220"/>
      <c r="T17" s="230"/>
      <c r="U17" s="232"/>
      <c r="V17" s="230"/>
      <c r="W17" s="231"/>
      <c r="X17" s="230"/>
      <c r="Y17" s="230"/>
      <c r="Z17" s="230"/>
      <c r="AA17" s="232"/>
      <c r="AB17" s="220"/>
      <c r="AC17" s="230"/>
      <c r="AD17" s="233"/>
      <c r="AE17" s="230"/>
      <c r="AF17" s="234"/>
      <c r="AG17" s="224"/>
      <c r="AH17" s="229" t="s">
        <v>145</v>
      </c>
      <c r="AI17" s="220">
        <f>AR17+AU17</f>
        <v>0</v>
      </c>
      <c r="AJ17" s="230" t="s">
        <v>146</v>
      </c>
      <c r="AK17" s="232" t="s">
        <v>145</v>
      </c>
      <c r="AL17" s="230">
        <f>AL19+AL21+AL23+AL25+AL27</f>
        <v>0</v>
      </c>
      <c r="AM17" s="231" t="s">
        <v>146</v>
      </c>
      <c r="AN17" s="230" t="s">
        <v>145</v>
      </c>
      <c r="AO17" s="230">
        <f>AO19+AO21+AO23+AO25+AO27</f>
        <v>0</v>
      </c>
      <c r="AP17" s="230" t="s">
        <v>146</v>
      </c>
      <c r="AQ17" s="232" t="s">
        <v>145</v>
      </c>
      <c r="AR17" s="230">
        <f t="shared" si="0"/>
        <v>0</v>
      </c>
      <c r="AS17" s="230" t="s">
        <v>146</v>
      </c>
      <c r="AT17" s="233" t="s">
        <v>145</v>
      </c>
      <c r="AU17" s="230">
        <f>AU19+AU21+AU23+AU25+AU27</f>
        <v>0</v>
      </c>
      <c r="AV17" s="234" t="s">
        <v>146</v>
      </c>
      <c r="AW17" s="229" t="s">
        <v>145</v>
      </c>
      <c r="AX17" s="220">
        <f>BG17+BJ17</f>
        <v>0</v>
      </c>
      <c r="AY17" s="230" t="s">
        <v>146</v>
      </c>
      <c r="AZ17" s="232" t="s">
        <v>145</v>
      </c>
      <c r="BA17" s="230">
        <f>BA19+BA21+BA23+BA25+BA27</f>
        <v>0</v>
      </c>
      <c r="BB17" s="231" t="s">
        <v>146</v>
      </c>
      <c r="BC17" s="230" t="s">
        <v>145</v>
      </c>
      <c r="BD17" s="230">
        <f>BD19+BD21+BD23+BD25+BD27</f>
        <v>0</v>
      </c>
      <c r="BE17" s="230" t="s">
        <v>146</v>
      </c>
      <c r="BF17" s="232" t="s">
        <v>145</v>
      </c>
      <c r="BG17" s="230">
        <f t="shared" si="3"/>
        <v>0</v>
      </c>
      <c r="BH17" s="230" t="s">
        <v>146</v>
      </c>
      <c r="BI17" s="233" t="s">
        <v>145</v>
      </c>
      <c r="BJ17" s="230">
        <f>BJ19+BJ21+BJ23+BJ25+BJ27</f>
        <v>0</v>
      </c>
      <c r="BK17" s="426" t="s">
        <v>146</v>
      </c>
      <c r="BL17" s="244"/>
      <c r="BM17" s="228"/>
    </row>
    <row r="18" spans="1:65" s="245" customFormat="1" ht="15.75" customHeight="1" thickBot="1">
      <c r="A18" s="706"/>
      <c r="B18" s="707"/>
      <c r="C18" s="246"/>
      <c r="D18" s="237">
        <f t="shared" si="1"/>
        <v>102794.08855200002</v>
      </c>
      <c r="E18" s="239"/>
      <c r="F18" s="238"/>
      <c r="G18" s="237">
        <f>G20+G22+G24+G26+G28</f>
        <v>72657.96970000002</v>
      </c>
      <c r="H18" s="239"/>
      <c r="I18" s="237"/>
      <c r="J18" s="237">
        <f>J20+J22+J24+J26+J28</f>
        <v>70.776652</v>
      </c>
      <c r="K18" s="237"/>
      <c r="L18" s="238"/>
      <c r="M18" s="237">
        <f t="shared" si="2"/>
        <v>72728.74635200002</v>
      </c>
      <c r="N18" s="237"/>
      <c r="O18" s="240"/>
      <c r="P18" s="237">
        <f>P20+P22+P24+P26+P28</f>
        <v>30065.3422</v>
      </c>
      <c r="Q18" s="241"/>
      <c r="R18" s="246"/>
      <c r="S18" s="237">
        <f>AB18+AE18</f>
        <v>88395.2406</v>
      </c>
      <c r="T18" s="237"/>
      <c r="U18" s="238"/>
      <c r="V18" s="237">
        <f>V20+V22+V24+V26+V28</f>
        <v>61295.845700000005</v>
      </c>
      <c r="W18" s="239"/>
      <c r="X18" s="237"/>
      <c r="Y18" s="237">
        <f>Y20+Y22+Y24+Y26+Y28</f>
        <v>14.837200000000001</v>
      </c>
      <c r="Z18" s="237"/>
      <c r="AA18" s="238"/>
      <c r="AB18" s="237">
        <f aca="true" t="shared" si="4" ref="AB18:AB28">V18+Y18</f>
        <v>61310.68290000001</v>
      </c>
      <c r="AC18" s="237"/>
      <c r="AD18" s="240"/>
      <c r="AE18" s="237">
        <f>AE20+AE22+AE24+AE26+AE28</f>
        <v>27084.5577</v>
      </c>
      <c r="AF18" s="247"/>
      <c r="AG18" s="224"/>
      <c r="AH18" s="425"/>
      <c r="AI18" s="237">
        <f>AR18+AU18</f>
        <v>13542.943844000001</v>
      </c>
      <c r="AJ18" s="237"/>
      <c r="AK18" s="238"/>
      <c r="AL18" s="237">
        <f>AL20+AL22+AL24+AL26+AL28</f>
        <v>10757.2816</v>
      </c>
      <c r="AM18" s="239"/>
      <c r="AN18" s="237"/>
      <c r="AO18" s="237">
        <f>AO20+AO22+AO24+AO26+AO28</f>
        <v>55.42204400000001</v>
      </c>
      <c r="AP18" s="237"/>
      <c r="AQ18" s="238"/>
      <c r="AR18" s="237">
        <f t="shared" si="0"/>
        <v>10812.703644000001</v>
      </c>
      <c r="AS18" s="237"/>
      <c r="AT18" s="240"/>
      <c r="AU18" s="237">
        <f>AU20+AU22+AU24+AU26+AU28</f>
        <v>2730.2401999999997</v>
      </c>
      <c r="AV18" s="247"/>
      <c r="AW18" s="425"/>
      <c r="AX18" s="237">
        <f>BG18+BJ18</f>
        <v>121.46160799999998</v>
      </c>
      <c r="AY18" s="237"/>
      <c r="AZ18" s="238"/>
      <c r="BA18" s="237">
        <f>BA20+BA22+BA24+BA26+BA28</f>
        <v>80.2695</v>
      </c>
      <c r="BB18" s="239"/>
      <c r="BC18" s="237"/>
      <c r="BD18" s="248">
        <f>BD20+BD22+BD24+BD26+BD28</f>
        <v>0.127608</v>
      </c>
      <c r="BE18" s="237"/>
      <c r="BF18" s="238"/>
      <c r="BG18" s="237">
        <f t="shared" si="3"/>
        <v>80.39710799999999</v>
      </c>
      <c r="BH18" s="237"/>
      <c r="BI18" s="240"/>
      <c r="BJ18" s="237">
        <f>BJ20+BJ22+BJ24+BJ26+BJ28</f>
        <v>41.064499999999995</v>
      </c>
      <c r="BK18" s="247"/>
      <c r="BL18" s="249"/>
      <c r="BM18" s="228"/>
    </row>
    <row r="19" spans="1:65" s="197" customFormat="1" ht="15.75" customHeight="1">
      <c r="A19" s="572">
        <v>1</v>
      </c>
      <c r="B19" s="573" t="s">
        <v>149</v>
      </c>
      <c r="C19" s="251" t="s">
        <v>145</v>
      </c>
      <c r="D19" s="209">
        <f t="shared" si="1"/>
        <v>934.0129000000001</v>
      </c>
      <c r="E19" s="423" t="s">
        <v>146</v>
      </c>
      <c r="F19" s="212" t="s">
        <v>145</v>
      </c>
      <c r="G19" s="214">
        <f>V19+AL19+BA19+その３!G19+その３!V19+その３!AL19+その３!BA19+その３!BS19+その３!CH19+その３!CX19</f>
        <v>795.2267</v>
      </c>
      <c r="H19" s="423" t="s">
        <v>146</v>
      </c>
      <c r="I19" s="209" t="s">
        <v>145</v>
      </c>
      <c r="J19" s="214">
        <f>Y19+AO19+BD19+その３!J19+その３!Y19+その３!AO19+その３!BD19+その３!BV19+その３!CK19+その３!DA19</f>
        <v>5.2233</v>
      </c>
      <c r="K19" s="209" t="s">
        <v>146</v>
      </c>
      <c r="L19" s="212" t="s">
        <v>145</v>
      </c>
      <c r="M19" s="209">
        <f t="shared" si="2"/>
        <v>800.45</v>
      </c>
      <c r="N19" s="209" t="s">
        <v>146</v>
      </c>
      <c r="O19" s="427" t="s">
        <v>145</v>
      </c>
      <c r="P19" s="209">
        <f>AE19+AU19+BJ19+その３!P19+その３!AE19+その３!AU19+その３!BJ19+その３!CB19+その３!CQ19+その３!DG19</f>
        <v>133.5629</v>
      </c>
      <c r="Q19" s="252" t="s">
        <v>146</v>
      </c>
      <c r="R19" s="208"/>
      <c r="S19" s="209"/>
      <c r="T19" s="209"/>
      <c r="U19" s="212"/>
      <c r="V19" s="209"/>
      <c r="W19" s="209"/>
      <c r="X19" s="212"/>
      <c r="Y19" s="209"/>
      <c r="Z19" s="209"/>
      <c r="AA19" s="212"/>
      <c r="AB19" s="209">
        <f t="shared" si="4"/>
        <v>0</v>
      </c>
      <c r="AC19" s="209"/>
      <c r="AD19" s="212"/>
      <c r="AE19" s="209"/>
      <c r="AF19" s="211"/>
      <c r="AG19" s="209"/>
      <c r="AH19" s="208" t="s">
        <v>145</v>
      </c>
      <c r="AI19" s="209"/>
      <c r="AJ19" s="209" t="s">
        <v>146</v>
      </c>
      <c r="AK19" s="212" t="s">
        <v>145</v>
      </c>
      <c r="AL19" s="209"/>
      <c r="AM19" s="209" t="s">
        <v>146</v>
      </c>
      <c r="AN19" s="212" t="s">
        <v>145</v>
      </c>
      <c r="AO19" s="209"/>
      <c r="AP19" s="209" t="s">
        <v>146</v>
      </c>
      <c r="AQ19" s="212" t="s">
        <v>145</v>
      </c>
      <c r="AR19" s="209">
        <f t="shared" si="0"/>
        <v>0</v>
      </c>
      <c r="AS19" s="209" t="s">
        <v>146</v>
      </c>
      <c r="AT19" s="212" t="s">
        <v>145</v>
      </c>
      <c r="AU19" s="209"/>
      <c r="AV19" s="211" t="s">
        <v>146</v>
      </c>
      <c r="AW19" s="208" t="s">
        <v>145</v>
      </c>
      <c r="AX19" s="209"/>
      <c r="AY19" s="209" t="s">
        <v>146</v>
      </c>
      <c r="AZ19" s="212" t="s">
        <v>145</v>
      </c>
      <c r="BA19" s="209"/>
      <c r="BB19" s="209" t="s">
        <v>146</v>
      </c>
      <c r="BC19" s="212" t="s">
        <v>145</v>
      </c>
      <c r="BD19" s="209"/>
      <c r="BE19" s="209" t="s">
        <v>146</v>
      </c>
      <c r="BF19" s="212" t="s">
        <v>145</v>
      </c>
      <c r="BG19" s="209">
        <f t="shared" si="3"/>
        <v>0</v>
      </c>
      <c r="BH19" s="209" t="s">
        <v>146</v>
      </c>
      <c r="BI19" s="212" t="s">
        <v>145</v>
      </c>
      <c r="BJ19" s="209"/>
      <c r="BK19" s="209" t="s">
        <v>146</v>
      </c>
      <c r="BL19" s="570">
        <v>1</v>
      </c>
      <c r="BM19" s="199"/>
    </row>
    <row r="20" spans="1:65" s="197" customFormat="1" ht="15.75" customHeight="1">
      <c r="A20" s="572"/>
      <c r="B20" s="573"/>
      <c r="C20" s="253"/>
      <c r="D20" s="254">
        <f t="shared" si="1"/>
        <v>17808.506607</v>
      </c>
      <c r="E20" s="428"/>
      <c r="F20" s="212"/>
      <c r="G20" s="209">
        <f>V20+AL20+BA20+その３!G20+その３!V20+その３!AL20+その３!BA20+その３!BS20+その３!CH20+その３!CX20</f>
        <v>15864.7948</v>
      </c>
      <c r="H20" s="423"/>
      <c r="I20" s="209"/>
      <c r="J20" s="209">
        <f>Y20+AO20+BD20+その３!J20+その３!Y20+その３!AO20+その３!BD20+その３!BV20+その３!CK20+その３!DA20</f>
        <v>39.598707000000005</v>
      </c>
      <c r="K20" s="209"/>
      <c r="L20" s="255"/>
      <c r="M20" s="254">
        <f t="shared" si="2"/>
        <v>15904.393506999999</v>
      </c>
      <c r="N20" s="428"/>
      <c r="O20" s="427"/>
      <c r="P20" s="254">
        <f>AE20+AU20+BJ20+その３!P20+その３!AE20+その３!AU20+その３!BJ20+その３!CB20+その３!CQ20+その３!DG20</f>
        <v>1904.1130999999998</v>
      </c>
      <c r="Q20" s="252"/>
      <c r="R20" s="208"/>
      <c r="S20" s="254">
        <f>AB20+AE20</f>
        <v>14179.071100000001</v>
      </c>
      <c r="T20" s="209"/>
      <c r="U20" s="212"/>
      <c r="V20" s="209">
        <v>13033.8631</v>
      </c>
      <c r="W20" s="209"/>
      <c r="X20" s="212"/>
      <c r="Y20" s="315">
        <f>0.8618</f>
        <v>0.8618</v>
      </c>
      <c r="Z20" s="209"/>
      <c r="AA20" s="212"/>
      <c r="AB20" s="254">
        <f t="shared" si="4"/>
        <v>13034.724900000001</v>
      </c>
      <c r="AC20" s="209"/>
      <c r="AD20" s="212"/>
      <c r="AE20" s="209">
        <v>1144.3462</v>
      </c>
      <c r="AF20" s="211"/>
      <c r="AG20" s="209"/>
      <c r="AH20" s="208"/>
      <c r="AI20" s="254">
        <f>AR20+AU20</f>
        <v>3524.690407</v>
      </c>
      <c r="AJ20" s="209"/>
      <c r="AK20" s="212"/>
      <c r="AL20" s="209">
        <v>2775.1074</v>
      </c>
      <c r="AM20" s="209"/>
      <c r="AN20" s="212"/>
      <c r="AO20" s="256">
        <f>0.0816+38.655307</f>
        <v>38.736907</v>
      </c>
      <c r="AP20" s="209"/>
      <c r="AQ20" s="212"/>
      <c r="AR20" s="254">
        <f t="shared" si="0"/>
        <v>2813.844307</v>
      </c>
      <c r="AS20" s="209"/>
      <c r="AT20" s="212"/>
      <c r="AU20" s="708">
        <v>710.8461</v>
      </c>
      <c r="AV20" s="211"/>
      <c r="AW20" s="208"/>
      <c r="AX20" s="254">
        <f>BG20+BJ20</f>
        <v>11.9435</v>
      </c>
      <c r="AY20" s="209"/>
      <c r="AZ20" s="212"/>
      <c r="BA20" s="209">
        <v>1.6043</v>
      </c>
      <c r="BB20" s="209"/>
      <c r="BC20" s="212"/>
      <c r="BD20" s="209"/>
      <c r="BE20" s="209"/>
      <c r="BF20" s="212"/>
      <c r="BG20" s="254">
        <f t="shared" si="3"/>
        <v>1.6043</v>
      </c>
      <c r="BH20" s="209"/>
      <c r="BI20" s="212"/>
      <c r="BJ20" s="209">
        <v>10.3392</v>
      </c>
      <c r="BK20" s="209"/>
      <c r="BL20" s="571"/>
      <c r="BM20" s="199"/>
    </row>
    <row r="21" spans="1:65" s="197" customFormat="1" ht="15.75" customHeight="1">
      <c r="A21" s="579">
        <v>2</v>
      </c>
      <c r="B21" s="616" t="s">
        <v>150</v>
      </c>
      <c r="C21" s="257" t="s">
        <v>145</v>
      </c>
      <c r="D21" s="258">
        <f t="shared" si="1"/>
        <v>6067.0614</v>
      </c>
      <c r="E21" s="429" t="s">
        <v>146</v>
      </c>
      <c r="F21" s="259" t="s">
        <v>145</v>
      </c>
      <c r="G21" s="258">
        <f>V21+AL21+BA21+その３!G21+その３!V21+その３!AL21+その３!BA21+その３!BS21+その３!CH21+その３!CX21</f>
        <v>258.254</v>
      </c>
      <c r="H21" s="429" t="s">
        <v>146</v>
      </c>
      <c r="I21" s="258" t="s">
        <v>145</v>
      </c>
      <c r="J21" s="258">
        <f>Y21+AO21+BD21+その３!J21+その３!Y21+その３!AO21+その３!BD21+その３!BV21+その３!CK21+その３!DA21</f>
        <v>0</v>
      </c>
      <c r="K21" s="258" t="s">
        <v>146</v>
      </c>
      <c r="L21" s="212" t="s">
        <v>145</v>
      </c>
      <c r="M21" s="209">
        <f t="shared" si="2"/>
        <v>258.254</v>
      </c>
      <c r="N21" s="209" t="s">
        <v>146</v>
      </c>
      <c r="O21" s="430" t="s">
        <v>145</v>
      </c>
      <c r="P21" s="209">
        <f>AE21+AU21+BJ21+その３!P21+その３!AE21+その３!AU21+その３!BJ21+その３!CB21+その３!CQ21+その３!DG21</f>
        <v>5808.8074</v>
      </c>
      <c r="Q21" s="260" t="s">
        <v>146</v>
      </c>
      <c r="R21" s="261"/>
      <c r="S21" s="209"/>
      <c r="T21" s="258"/>
      <c r="U21" s="259"/>
      <c r="V21" s="258"/>
      <c r="W21" s="258"/>
      <c r="X21" s="259"/>
      <c r="Y21" s="258"/>
      <c r="Z21" s="258"/>
      <c r="AA21" s="259"/>
      <c r="AB21" s="209">
        <f t="shared" si="4"/>
        <v>0</v>
      </c>
      <c r="AC21" s="258"/>
      <c r="AD21" s="259"/>
      <c r="AE21" s="258"/>
      <c r="AF21" s="262"/>
      <c r="AG21" s="209"/>
      <c r="AH21" s="261" t="s">
        <v>145</v>
      </c>
      <c r="AI21" s="209"/>
      <c r="AJ21" s="258" t="s">
        <v>146</v>
      </c>
      <c r="AK21" s="259" t="s">
        <v>145</v>
      </c>
      <c r="AL21" s="258"/>
      <c r="AM21" s="258" t="s">
        <v>146</v>
      </c>
      <c r="AN21" s="259" t="s">
        <v>145</v>
      </c>
      <c r="AO21" s="258"/>
      <c r="AP21" s="258" t="s">
        <v>146</v>
      </c>
      <c r="AQ21" s="259" t="s">
        <v>145</v>
      </c>
      <c r="AR21" s="209">
        <f t="shared" si="0"/>
        <v>0</v>
      </c>
      <c r="AS21" s="258" t="s">
        <v>146</v>
      </c>
      <c r="AT21" s="259" t="s">
        <v>145</v>
      </c>
      <c r="AU21" s="258"/>
      <c r="AV21" s="262" t="s">
        <v>146</v>
      </c>
      <c r="AW21" s="261" t="s">
        <v>145</v>
      </c>
      <c r="AX21" s="209"/>
      <c r="AY21" s="258" t="s">
        <v>146</v>
      </c>
      <c r="AZ21" s="259" t="s">
        <v>145</v>
      </c>
      <c r="BA21" s="258"/>
      <c r="BB21" s="258" t="s">
        <v>146</v>
      </c>
      <c r="BC21" s="259" t="s">
        <v>145</v>
      </c>
      <c r="BD21" s="258"/>
      <c r="BE21" s="258" t="s">
        <v>146</v>
      </c>
      <c r="BF21" s="259" t="s">
        <v>145</v>
      </c>
      <c r="BG21" s="209">
        <f t="shared" si="3"/>
        <v>0</v>
      </c>
      <c r="BH21" s="258" t="s">
        <v>146</v>
      </c>
      <c r="BI21" s="259" t="s">
        <v>145</v>
      </c>
      <c r="BJ21" s="258"/>
      <c r="BK21" s="258" t="s">
        <v>146</v>
      </c>
      <c r="BL21" s="584">
        <v>2</v>
      </c>
      <c r="BM21" s="199"/>
    </row>
    <row r="22" spans="1:65" s="197" customFormat="1" ht="15.75" customHeight="1">
      <c r="A22" s="580"/>
      <c r="B22" s="617"/>
      <c r="C22" s="253"/>
      <c r="D22" s="254">
        <f t="shared" si="1"/>
        <v>30371.124614999997</v>
      </c>
      <c r="E22" s="428"/>
      <c r="F22" s="255"/>
      <c r="G22" s="209">
        <f>V22+AL22+BA22+その３!G22+その３!V22+その３!AL22+その３!BA22+その３!BS22+その３!CH22+その３!CX22</f>
        <v>4821.4455</v>
      </c>
      <c r="H22" s="428"/>
      <c r="I22" s="254"/>
      <c r="J22" s="209">
        <f>Y22+AO22+BD22+その３!J22+その３!Y22+その３!AO22+その３!BD22+その３!BV22+その３!CK22+その３!DA22</f>
        <v>19.032715</v>
      </c>
      <c r="K22" s="254"/>
      <c r="L22" s="212"/>
      <c r="M22" s="254">
        <f t="shared" si="2"/>
        <v>4840.478215</v>
      </c>
      <c r="N22" s="209"/>
      <c r="O22" s="431"/>
      <c r="P22" s="254">
        <f>AE22+AU22+BJ22+その３!P22+その３!AE22+その３!AU22+その３!BJ22+その３!CB22+その３!CQ22+その３!DG22</f>
        <v>25530.646399999998</v>
      </c>
      <c r="Q22" s="263"/>
      <c r="R22" s="264"/>
      <c r="S22" s="254">
        <f>AB22+AE22</f>
        <v>28037.426799999997</v>
      </c>
      <c r="T22" s="254"/>
      <c r="U22" s="255"/>
      <c r="V22" s="254">
        <v>3816.8334</v>
      </c>
      <c r="W22" s="254"/>
      <c r="X22" s="255"/>
      <c r="Y22" s="254">
        <f>13.9754</f>
        <v>13.9754</v>
      </c>
      <c r="Z22" s="254"/>
      <c r="AA22" s="255"/>
      <c r="AB22" s="254">
        <f t="shared" si="4"/>
        <v>3830.8088</v>
      </c>
      <c r="AC22" s="254"/>
      <c r="AD22" s="255"/>
      <c r="AE22" s="254">
        <v>24206.618</v>
      </c>
      <c r="AF22" s="265"/>
      <c r="AG22" s="209"/>
      <c r="AH22" s="264"/>
      <c r="AI22" s="254">
        <f>AR22+AU22</f>
        <v>2323.4063</v>
      </c>
      <c r="AJ22" s="254"/>
      <c r="AK22" s="255"/>
      <c r="AL22" s="254">
        <v>1004.0478</v>
      </c>
      <c r="AM22" s="254"/>
      <c r="AN22" s="255"/>
      <c r="AO22" s="254">
        <f>5.0215</f>
        <v>5.0215</v>
      </c>
      <c r="AP22" s="254"/>
      <c r="AQ22" s="255"/>
      <c r="AR22" s="254">
        <f t="shared" si="0"/>
        <v>1009.0693</v>
      </c>
      <c r="AS22" s="254"/>
      <c r="AT22" s="255"/>
      <c r="AU22" s="254">
        <v>1314.337</v>
      </c>
      <c r="AV22" s="265"/>
      <c r="AW22" s="264"/>
      <c r="AX22" s="254">
        <f>BG22+BJ22</f>
        <v>9.341415</v>
      </c>
      <c r="AY22" s="254"/>
      <c r="AZ22" s="255"/>
      <c r="BA22" s="254"/>
      <c r="BB22" s="254"/>
      <c r="BC22" s="255"/>
      <c r="BD22" s="266">
        <f>0.018315</f>
        <v>0.018315</v>
      </c>
      <c r="BE22" s="254"/>
      <c r="BF22" s="255"/>
      <c r="BG22" s="254">
        <f t="shared" si="3"/>
        <v>0.018315</v>
      </c>
      <c r="BH22" s="254"/>
      <c r="BI22" s="255"/>
      <c r="BJ22" s="254">
        <v>9.3231</v>
      </c>
      <c r="BK22" s="254"/>
      <c r="BL22" s="571"/>
      <c r="BM22" s="199"/>
    </row>
    <row r="23" spans="1:65" s="197" customFormat="1" ht="15.75" customHeight="1">
      <c r="A23" s="572">
        <v>3</v>
      </c>
      <c r="B23" s="573" t="s">
        <v>151</v>
      </c>
      <c r="C23" s="257" t="s">
        <v>145</v>
      </c>
      <c r="D23" s="258">
        <f t="shared" si="1"/>
        <v>761.4751</v>
      </c>
      <c r="E23" s="429" t="s">
        <v>146</v>
      </c>
      <c r="F23" s="212" t="s">
        <v>145</v>
      </c>
      <c r="G23" s="258">
        <f>V23+AL23+BA23+その３!G23+その３!V23+その３!AL23+その３!BA23+その３!BS23+その３!CH23+その３!CX23</f>
        <v>753.3</v>
      </c>
      <c r="H23" s="423" t="s">
        <v>146</v>
      </c>
      <c r="I23" s="209" t="s">
        <v>145</v>
      </c>
      <c r="J23" s="258">
        <f>Y23+AO23+BD23+その３!J23+その３!Y23+その３!AO23+その３!BD23+その３!BV23+その３!CK23+その３!DA23</f>
        <v>0</v>
      </c>
      <c r="K23" s="209" t="s">
        <v>146</v>
      </c>
      <c r="L23" s="259" t="s">
        <v>145</v>
      </c>
      <c r="M23" s="209">
        <f t="shared" si="2"/>
        <v>753.3</v>
      </c>
      <c r="N23" s="429" t="s">
        <v>146</v>
      </c>
      <c r="O23" s="427" t="s">
        <v>145</v>
      </c>
      <c r="P23" s="209">
        <f>AE23+AU23+BJ23+その３!P23+その３!AE23+その３!AU23+その３!BJ23+その３!CB23+その３!CQ23+その３!DG23</f>
        <v>8.1751</v>
      </c>
      <c r="Q23" s="252" t="s">
        <v>146</v>
      </c>
      <c r="R23" s="208"/>
      <c r="S23" s="209"/>
      <c r="T23" s="209"/>
      <c r="U23" s="212"/>
      <c r="V23" s="209"/>
      <c r="W23" s="209"/>
      <c r="X23" s="212"/>
      <c r="Y23" s="209"/>
      <c r="Z23" s="209"/>
      <c r="AA23" s="212"/>
      <c r="AB23" s="209">
        <f t="shared" si="4"/>
        <v>0</v>
      </c>
      <c r="AC23" s="209"/>
      <c r="AD23" s="212"/>
      <c r="AE23" s="209"/>
      <c r="AF23" s="211"/>
      <c r="AG23" s="209"/>
      <c r="AH23" s="208" t="s">
        <v>145</v>
      </c>
      <c r="AI23" s="209"/>
      <c r="AJ23" s="209" t="s">
        <v>146</v>
      </c>
      <c r="AK23" s="212" t="s">
        <v>145</v>
      </c>
      <c r="AL23" s="209"/>
      <c r="AM23" s="209" t="s">
        <v>146</v>
      </c>
      <c r="AN23" s="212" t="s">
        <v>145</v>
      </c>
      <c r="AO23" s="209"/>
      <c r="AP23" s="209" t="s">
        <v>146</v>
      </c>
      <c r="AQ23" s="212" t="s">
        <v>145</v>
      </c>
      <c r="AR23" s="209">
        <f t="shared" si="0"/>
        <v>0</v>
      </c>
      <c r="AS23" s="209" t="s">
        <v>146</v>
      </c>
      <c r="AT23" s="212" t="s">
        <v>145</v>
      </c>
      <c r="AU23" s="209"/>
      <c r="AV23" s="211" t="s">
        <v>146</v>
      </c>
      <c r="AW23" s="208" t="s">
        <v>145</v>
      </c>
      <c r="AX23" s="209"/>
      <c r="AY23" s="209" t="s">
        <v>146</v>
      </c>
      <c r="AZ23" s="212" t="s">
        <v>145</v>
      </c>
      <c r="BA23" s="209"/>
      <c r="BB23" s="209" t="s">
        <v>146</v>
      </c>
      <c r="BC23" s="212" t="s">
        <v>145</v>
      </c>
      <c r="BD23" s="209"/>
      <c r="BE23" s="209" t="s">
        <v>146</v>
      </c>
      <c r="BF23" s="212" t="s">
        <v>145</v>
      </c>
      <c r="BG23" s="209">
        <f t="shared" si="3"/>
        <v>0</v>
      </c>
      <c r="BH23" s="209" t="s">
        <v>146</v>
      </c>
      <c r="BI23" s="212" t="s">
        <v>145</v>
      </c>
      <c r="BJ23" s="209"/>
      <c r="BK23" s="209" t="s">
        <v>146</v>
      </c>
      <c r="BL23" s="584">
        <v>3</v>
      </c>
      <c r="BM23" s="199"/>
    </row>
    <row r="24" spans="1:65" s="197" customFormat="1" ht="15.75" customHeight="1">
      <c r="A24" s="572"/>
      <c r="B24" s="573"/>
      <c r="C24" s="253"/>
      <c r="D24" s="254">
        <f t="shared" si="1"/>
        <v>3787.6416999999997</v>
      </c>
      <c r="E24" s="428"/>
      <c r="F24" s="212"/>
      <c r="G24" s="254">
        <f>V24+AL24+BA24+その３!G24+その３!V24+その３!AL24+その３!BA24+その３!BS24+その３!CH24+その３!CX24</f>
        <v>3324.1625</v>
      </c>
      <c r="H24" s="423"/>
      <c r="I24" s="209"/>
      <c r="J24" s="209">
        <f>Y24+AO24+BD24+その３!J24+その３!Y24+その３!AO24+その３!BD24+その３!BV24+その３!CK24+その３!DA24</f>
        <v>0.3484</v>
      </c>
      <c r="K24" s="209"/>
      <c r="L24" s="255"/>
      <c r="M24" s="254">
        <f t="shared" si="2"/>
        <v>3324.5108999999998</v>
      </c>
      <c r="N24" s="428"/>
      <c r="O24" s="427"/>
      <c r="P24" s="254">
        <f>AE24+AU24+BJ24+その３!P24+その３!AE24+その３!AU24+その３!BJ24+その３!CB24+その３!CQ24+その３!DG24</f>
        <v>463.13079999999997</v>
      </c>
      <c r="Q24" s="252"/>
      <c r="R24" s="208"/>
      <c r="S24" s="254">
        <f>AB24+AE24</f>
        <v>2707.4328</v>
      </c>
      <c r="T24" s="209"/>
      <c r="U24" s="212"/>
      <c r="V24" s="209">
        <v>2305.4238</v>
      </c>
      <c r="W24" s="209"/>
      <c r="X24" s="212"/>
      <c r="Y24" s="209"/>
      <c r="Z24" s="209"/>
      <c r="AA24" s="212"/>
      <c r="AB24" s="254">
        <f t="shared" si="4"/>
        <v>2305.4238</v>
      </c>
      <c r="AC24" s="209"/>
      <c r="AD24" s="212"/>
      <c r="AE24" s="209">
        <v>402.009</v>
      </c>
      <c r="AF24" s="211"/>
      <c r="AG24" s="209"/>
      <c r="AH24" s="208"/>
      <c r="AI24" s="254">
        <f>AR24+AU24</f>
        <v>1037.8595</v>
      </c>
      <c r="AJ24" s="209"/>
      <c r="AK24" s="212"/>
      <c r="AL24" s="209">
        <v>1018.7387</v>
      </c>
      <c r="AM24" s="209"/>
      <c r="AN24" s="212"/>
      <c r="AO24" s="209"/>
      <c r="AP24" s="209"/>
      <c r="AQ24" s="212"/>
      <c r="AR24" s="254">
        <f t="shared" si="0"/>
        <v>1018.7387</v>
      </c>
      <c r="AS24" s="209"/>
      <c r="AT24" s="212"/>
      <c r="AU24" s="209">
        <v>19.1208</v>
      </c>
      <c r="AV24" s="211"/>
      <c r="AW24" s="208"/>
      <c r="AX24" s="267">
        <f>BG24+BJ24</f>
        <v>0.4672</v>
      </c>
      <c r="AY24" s="209"/>
      <c r="AZ24" s="212"/>
      <c r="BA24" s="209"/>
      <c r="BB24" s="209"/>
      <c r="BC24" s="212"/>
      <c r="BD24" s="209"/>
      <c r="BE24" s="209"/>
      <c r="BF24" s="212"/>
      <c r="BG24" s="254">
        <f t="shared" si="3"/>
        <v>0</v>
      </c>
      <c r="BH24" s="209"/>
      <c r="BI24" s="212"/>
      <c r="BJ24" s="268">
        <v>0.4672</v>
      </c>
      <c r="BK24" s="209"/>
      <c r="BL24" s="571"/>
      <c r="BM24" s="199"/>
    </row>
    <row r="25" spans="1:65" s="197" customFormat="1" ht="15.75" customHeight="1">
      <c r="A25" s="579">
        <v>4</v>
      </c>
      <c r="B25" s="578" t="s">
        <v>152</v>
      </c>
      <c r="C25" s="257" t="s">
        <v>145</v>
      </c>
      <c r="D25" s="258">
        <f t="shared" si="1"/>
        <v>1405.167</v>
      </c>
      <c r="E25" s="429" t="s">
        <v>146</v>
      </c>
      <c r="F25" s="259" t="s">
        <v>145</v>
      </c>
      <c r="G25" s="209">
        <f>V25+AL25+BA25+その３!G25+その３!V25+その３!AL25+その３!BA25+その３!BS25+その３!CH25+その３!CX25</f>
        <v>1283.667</v>
      </c>
      <c r="H25" s="429" t="s">
        <v>146</v>
      </c>
      <c r="I25" s="258" t="s">
        <v>145</v>
      </c>
      <c r="J25" s="258">
        <f>Y25+AO25+BD25+その３!J25+その３!Y25+その３!AO25+その３!BD25+その３!BV25+その３!CK25+その３!DA25</f>
        <v>0</v>
      </c>
      <c r="K25" s="258" t="s">
        <v>146</v>
      </c>
      <c r="L25" s="212" t="s">
        <v>145</v>
      </c>
      <c r="M25" s="209">
        <f t="shared" si="2"/>
        <v>1283.667</v>
      </c>
      <c r="N25" s="209" t="s">
        <v>146</v>
      </c>
      <c r="O25" s="430" t="s">
        <v>145</v>
      </c>
      <c r="P25" s="209">
        <f>AE25+AU25+BJ25+その３!P25+その３!AE25+その３!AU25+その３!BJ25+その３!CB25+その３!CQ25+その３!DG25</f>
        <v>121.5</v>
      </c>
      <c r="Q25" s="260" t="s">
        <v>146</v>
      </c>
      <c r="R25" s="261"/>
      <c r="S25" s="209"/>
      <c r="T25" s="258"/>
      <c r="U25" s="259"/>
      <c r="V25" s="258"/>
      <c r="W25" s="258"/>
      <c r="X25" s="259"/>
      <c r="Y25" s="258"/>
      <c r="Z25" s="258"/>
      <c r="AA25" s="259"/>
      <c r="AB25" s="209">
        <f t="shared" si="4"/>
        <v>0</v>
      </c>
      <c r="AC25" s="258"/>
      <c r="AD25" s="259"/>
      <c r="AE25" s="258"/>
      <c r="AF25" s="262"/>
      <c r="AG25" s="209"/>
      <c r="AH25" s="261" t="s">
        <v>145</v>
      </c>
      <c r="AI25" s="209"/>
      <c r="AJ25" s="258" t="s">
        <v>146</v>
      </c>
      <c r="AK25" s="259" t="s">
        <v>145</v>
      </c>
      <c r="AL25" s="258"/>
      <c r="AM25" s="258" t="s">
        <v>146</v>
      </c>
      <c r="AN25" s="259" t="s">
        <v>145</v>
      </c>
      <c r="AO25" s="258"/>
      <c r="AP25" s="258" t="s">
        <v>146</v>
      </c>
      <c r="AQ25" s="259" t="s">
        <v>145</v>
      </c>
      <c r="AR25" s="209">
        <f t="shared" si="0"/>
        <v>0</v>
      </c>
      <c r="AS25" s="258" t="s">
        <v>146</v>
      </c>
      <c r="AT25" s="259" t="s">
        <v>145</v>
      </c>
      <c r="AU25" s="258"/>
      <c r="AV25" s="262" t="s">
        <v>146</v>
      </c>
      <c r="AW25" s="261" t="s">
        <v>145</v>
      </c>
      <c r="AX25" s="209"/>
      <c r="AY25" s="258" t="s">
        <v>146</v>
      </c>
      <c r="AZ25" s="259" t="s">
        <v>145</v>
      </c>
      <c r="BA25" s="258"/>
      <c r="BB25" s="258" t="s">
        <v>146</v>
      </c>
      <c r="BC25" s="259" t="s">
        <v>145</v>
      </c>
      <c r="BD25" s="258"/>
      <c r="BE25" s="258" t="s">
        <v>146</v>
      </c>
      <c r="BF25" s="259" t="s">
        <v>145</v>
      </c>
      <c r="BG25" s="209">
        <f t="shared" si="3"/>
        <v>0</v>
      </c>
      <c r="BH25" s="258" t="s">
        <v>146</v>
      </c>
      <c r="BI25" s="259" t="s">
        <v>145</v>
      </c>
      <c r="BJ25" s="258"/>
      <c r="BK25" s="258" t="s">
        <v>146</v>
      </c>
      <c r="BL25" s="584">
        <v>4</v>
      </c>
      <c r="BM25" s="199"/>
    </row>
    <row r="26" spans="1:65" s="197" customFormat="1" ht="15.75" customHeight="1">
      <c r="A26" s="580"/>
      <c r="B26" s="709"/>
      <c r="C26" s="253"/>
      <c r="D26" s="254">
        <f t="shared" si="1"/>
        <v>50369.418880000005</v>
      </c>
      <c r="E26" s="428"/>
      <c r="F26" s="255"/>
      <c r="G26" s="254">
        <f>V26+AL26+BA26+その３!G26+その３!V26+その３!AL26+その３!BA26+その３!BS26+その３!CH26+その３!CX26</f>
        <v>48578.43690000001</v>
      </c>
      <c r="H26" s="428"/>
      <c r="I26" s="254"/>
      <c r="J26" s="254">
        <f>Y26+AO26+BD26+その３!J26+その３!Y26+その３!AO26+その３!BD26+その３!BV26+その３!CK26+その３!DA26</f>
        <v>9.64378</v>
      </c>
      <c r="K26" s="254"/>
      <c r="L26" s="212"/>
      <c r="M26" s="254">
        <f t="shared" si="2"/>
        <v>48588.08068000001</v>
      </c>
      <c r="N26" s="209"/>
      <c r="O26" s="431"/>
      <c r="P26" s="254">
        <f>AE26+AU26+BJ26+その３!P26+その３!AE26+その３!AU26+その３!BJ26+その３!CB26+その３!CQ26+その３!DG26</f>
        <v>1781.3382000000001</v>
      </c>
      <c r="Q26" s="263"/>
      <c r="R26" s="264"/>
      <c r="S26" s="254">
        <f>AB26+AE26</f>
        <v>43342.132600000004</v>
      </c>
      <c r="T26" s="254"/>
      <c r="U26" s="255"/>
      <c r="V26" s="254">
        <v>42139.7254</v>
      </c>
      <c r="W26" s="254"/>
      <c r="X26" s="255"/>
      <c r="Y26" s="254"/>
      <c r="Z26" s="254"/>
      <c r="AA26" s="255"/>
      <c r="AB26" s="254">
        <f t="shared" si="4"/>
        <v>42139.7254</v>
      </c>
      <c r="AC26" s="254"/>
      <c r="AD26" s="255"/>
      <c r="AE26" s="254">
        <v>1202.4072</v>
      </c>
      <c r="AF26" s="265"/>
      <c r="AG26" s="209"/>
      <c r="AH26" s="264"/>
      <c r="AI26" s="254">
        <f>AR26+AU26</f>
        <v>6385.750387</v>
      </c>
      <c r="AJ26" s="254"/>
      <c r="AK26" s="255"/>
      <c r="AL26" s="254">
        <v>5890.2577</v>
      </c>
      <c r="AM26" s="254"/>
      <c r="AN26" s="255"/>
      <c r="AO26" s="256">
        <f>0.1397+0.0294+7.95795+0.131837+1.2555</f>
        <v>9.514387000000001</v>
      </c>
      <c r="AP26" s="254"/>
      <c r="AQ26" s="255"/>
      <c r="AR26" s="254">
        <f t="shared" si="0"/>
        <v>5899.772087</v>
      </c>
      <c r="AS26" s="254"/>
      <c r="AT26" s="255"/>
      <c r="AU26" s="710">
        <v>485.9783</v>
      </c>
      <c r="AV26" s="265"/>
      <c r="AW26" s="264"/>
      <c r="AX26" s="254">
        <f>BG26+BJ26</f>
        <v>93.491693</v>
      </c>
      <c r="AY26" s="254"/>
      <c r="AZ26" s="255"/>
      <c r="BA26" s="254">
        <v>78.6652</v>
      </c>
      <c r="BB26" s="254"/>
      <c r="BC26" s="255"/>
      <c r="BD26" s="266">
        <f>0.100393+0.0051</f>
        <v>0.105493</v>
      </c>
      <c r="BE26" s="254"/>
      <c r="BF26" s="255"/>
      <c r="BG26" s="254">
        <f t="shared" si="3"/>
        <v>78.770693</v>
      </c>
      <c r="BH26" s="254"/>
      <c r="BI26" s="255"/>
      <c r="BJ26" s="254">
        <v>14.721</v>
      </c>
      <c r="BK26" s="254"/>
      <c r="BL26" s="571"/>
      <c r="BM26" s="199"/>
    </row>
    <row r="27" spans="1:65" s="197" customFormat="1" ht="15.75" customHeight="1">
      <c r="A27" s="572">
        <v>5</v>
      </c>
      <c r="B27" s="573" t="s">
        <v>153</v>
      </c>
      <c r="C27" s="257" t="s">
        <v>145</v>
      </c>
      <c r="D27" s="258">
        <f t="shared" si="1"/>
        <v>0</v>
      </c>
      <c r="E27" s="429" t="s">
        <v>146</v>
      </c>
      <c r="F27" s="212" t="s">
        <v>145</v>
      </c>
      <c r="G27" s="258">
        <f>V27+AL27+BA27+その３!G27+その３!V27+その３!AL27+その３!BA27+その３!BS27+その３!CH27+その３!CX27</f>
        <v>0</v>
      </c>
      <c r="H27" s="423" t="s">
        <v>146</v>
      </c>
      <c r="I27" s="209" t="s">
        <v>145</v>
      </c>
      <c r="J27" s="258">
        <f>Y27+AO27+BD27+その３!J27+その３!Y27+その３!AO27+その３!BD27+その３!BV27+その３!CK27+その３!DA27</f>
        <v>0</v>
      </c>
      <c r="K27" s="209" t="s">
        <v>146</v>
      </c>
      <c r="L27" s="259" t="s">
        <v>145</v>
      </c>
      <c r="M27" s="209">
        <f t="shared" si="2"/>
        <v>0</v>
      </c>
      <c r="N27" s="429" t="s">
        <v>146</v>
      </c>
      <c r="O27" s="427" t="s">
        <v>145</v>
      </c>
      <c r="P27" s="209">
        <f>AE27+AU27+BJ27+その３!P27+その３!AE27+その３!AU27+その３!BJ27+その３!CB27+その３!CQ27+その３!DG27</f>
        <v>0</v>
      </c>
      <c r="Q27" s="252" t="s">
        <v>146</v>
      </c>
      <c r="R27" s="208"/>
      <c r="S27" s="209"/>
      <c r="T27" s="209"/>
      <c r="U27" s="212"/>
      <c r="V27" s="209"/>
      <c r="W27" s="209"/>
      <c r="X27" s="212"/>
      <c r="Y27" s="209"/>
      <c r="Z27" s="209"/>
      <c r="AA27" s="212"/>
      <c r="AB27" s="209">
        <f t="shared" si="4"/>
        <v>0</v>
      </c>
      <c r="AC27" s="209"/>
      <c r="AD27" s="212"/>
      <c r="AE27" s="209"/>
      <c r="AF27" s="211"/>
      <c r="AG27" s="209"/>
      <c r="AH27" s="208" t="s">
        <v>145</v>
      </c>
      <c r="AI27" s="209"/>
      <c r="AJ27" s="209" t="s">
        <v>146</v>
      </c>
      <c r="AK27" s="212" t="s">
        <v>145</v>
      </c>
      <c r="AL27" s="209"/>
      <c r="AM27" s="209" t="s">
        <v>146</v>
      </c>
      <c r="AN27" s="212" t="s">
        <v>145</v>
      </c>
      <c r="AO27" s="209"/>
      <c r="AP27" s="209" t="s">
        <v>146</v>
      </c>
      <c r="AQ27" s="212" t="s">
        <v>145</v>
      </c>
      <c r="AR27" s="209">
        <f t="shared" si="0"/>
        <v>0</v>
      </c>
      <c r="AS27" s="209" t="s">
        <v>146</v>
      </c>
      <c r="AT27" s="212" t="s">
        <v>145</v>
      </c>
      <c r="AU27" s="209"/>
      <c r="AV27" s="211" t="s">
        <v>146</v>
      </c>
      <c r="AW27" s="208" t="s">
        <v>145</v>
      </c>
      <c r="AX27" s="209"/>
      <c r="AY27" s="209" t="s">
        <v>146</v>
      </c>
      <c r="AZ27" s="212" t="s">
        <v>145</v>
      </c>
      <c r="BA27" s="209"/>
      <c r="BB27" s="209" t="s">
        <v>146</v>
      </c>
      <c r="BC27" s="212" t="s">
        <v>145</v>
      </c>
      <c r="BD27" s="209"/>
      <c r="BE27" s="209" t="s">
        <v>146</v>
      </c>
      <c r="BF27" s="212" t="s">
        <v>145</v>
      </c>
      <c r="BG27" s="209">
        <f t="shared" si="3"/>
        <v>0</v>
      </c>
      <c r="BH27" s="209" t="s">
        <v>146</v>
      </c>
      <c r="BI27" s="212" t="s">
        <v>145</v>
      </c>
      <c r="BJ27" s="209"/>
      <c r="BK27" s="209" t="s">
        <v>146</v>
      </c>
      <c r="BL27" s="584">
        <v>5</v>
      </c>
      <c r="BM27" s="199"/>
    </row>
    <row r="28" spans="1:65" s="197" customFormat="1" ht="15.75" customHeight="1" thickBot="1">
      <c r="A28" s="572"/>
      <c r="B28" s="573"/>
      <c r="C28" s="269"/>
      <c r="D28" s="217">
        <f t="shared" si="1"/>
        <v>457.39675000000005</v>
      </c>
      <c r="E28" s="424"/>
      <c r="F28" s="212"/>
      <c r="G28" s="254">
        <f>V28+AL28+BA28+その３!G28+その３!V28+その３!AL28+その３!BA28+その３!BS28+その３!CH28+その３!CX28</f>
        <v>69.13</v>
      </c>
      <c r="H28" s="423"/>
      <c r="I28" s="209"/>
      <c r="J28" s="254">
        <f>Y28+AO28+BD28+その３!J28+その３!Y28+その３!AO28+その３!BD28+その３!BV28+その３!CK28+その３!DA28</f>
        <v>2.15305</v>
      </c>
      <c r="K28" s="209"/>
      <c r="L28" s="218"/>
      <c r="M28" s="209">
        <f t="shared" si="2"/>
        <v>71.28304999999999</v>
      </c>
      <c r="N28" s="424"/>
      <c r="O28" s="427"/>
      <c r="P28" s="209">
        <f>AE28+AU28+BJ28+その３!P28+その３!AE28+その３!AU28+その３!BJ28+その３!CB28+その３!CQ28+その３!DG28</f>
        <v>386.11370000000005</v>
      </c>
      <c r="Q28" s="252"/>
      <c r="R28" s="208"/>
      <c r="S28" s="209">
        <f>AB28+AE28</f>
        <v>129.1773</v>
      </c>
      <c r="T28" s="209"/>
      <c r="U28" s="212"/>
      <c r="V28" s="209"/>
      <c r="W28" s="209"/>
      <c r="X28" s="212"/>
      <c r="Y28" s="209"/>
      <c r="Z28" s="209"/>
      <c r="AA28" s="212"/>
      <c r="AB28" s="209">
        <f t="shared" si="4"/>
        <v>0</v>
      </c>
      <c r="AC28" s="209"/>
      <c r="AD28" s="212"/>
      <c r="AE28" s="209">
        <v>129.1773</v>
      </c>
      <c r="AF28" s="211"/>
      <c r="AG28" s="209"/>
      <c r="AH28" s="208"/>
      <c r="AI28" s="209">
        <f>AR28+AU28</f>
        <v>271.23725</v>
      </c>
      <c r="AJ28" s="209"/>
      <c r="AK28" s="212"/>
      <c r="AL28" s="209">
        <v>69.13</v>
      </c>
      <c r="AM28" s="209"/>
      <c r="AN28" s="212"/>
      <c r="AO28" s="256">
        <f>0.0032+2.14605</f>
        <v>2.14925</v>
      </c>
      <c r="AP28" s="209"/>
      <c r="AQ28" s="212"/>
      <c r="AR28" s="209">
        <f t="shared" si="0"/>
        <v>71.27924999999999</v>
      </c>
      <c r="AS28" s="209"/>
      <c r="AT28" s="212"/>
      <c r="AU28" s="209">
        <v>199.958</v>
      </c>
      <c r="AV28" s="211"/>
      <c r="AW28" s="208"/>
      <c r="AX28" s="217">
        <f>BG28+BJ28</f>
        <v>6.2178</v>
      </c>
      <c r="AY28" s="209"/>
      <c r="AZ28" s="212"/>
      <c r="BA28" s="209"/>
      <c r="BB28" s="209"/>
      <c r="BC28" s="212"/>
      <c r="BD28" s="270">
        <f>0.0038</f>
        <v>0.0038</v>
      </c>
      <c r="BE28" s="209"/>
      <c r="BF28" s="212"/>
      <c r="BG28" s="209">
        <f t="shared" si="3"/>
        <v>0.0038</v>
      </c>
      <c r="BH28" s="209"/>
      <c r="BI28" s="212"/>
      <c r="BJ28" s="209">
        <v>6.214</v>
      </c>
      <c r="BK28" s="209"/>
      <c r="BL28" s="585"/>
      <c r="BM28" s="199"/>
    </row>
    <row r="29" spans="1:64" s="228" customFormat="1" ht="15.75" customHeight="1">
      <c r="A29" s="569" t="s">
        <v>17</v>
      </c>
      <c r="B29" s="575"/>
      <c r="C29" s="225" t="s">
        <v>314</v>
      </c>
      <c r="D29" s="220">
        <f t="shared" si="1"/>
        <v>3521.8179999999998</v>
      </c>
      <c r="E29" s="220" t="s">
        <v>315</v>
      </c>
      <c r="F29" s="232" t="s">
        <v>314</v>
      </c>
      <c r="G29" s="230">
        <f>G31</f>
        <v>2968.843</v>
      </c>
      <c r="H29" s="231" t="s">
        <v>315</v>
      </c>
      <c r="I29" s="230" t="s">
        <v>314</v>
      </c>
      <c r="J29" s="230">
        <f>J31</f>
        <v>2</v>
      </c>
      <c r="K29" s="230" t="s">
        <v>315</v>
      </c>
      <c r="L29" s="221" t="s">
        <v>314</v>
      </c>
      <c r="M29" s="230">
        <f>M31</f>
        <v>2970.843</v>
      </c>
      <c r="N29" s="220" t="s">
        <v>315</v>
      </c>
      <c r="O29" s="233" t="s">
        <v>314</v>
      </c>
      <c r="P29" s="230">
        <f>P31</f>
        <v>550.975</v>
      </c>
      <c r="Q29" s="426" t="s">
        <v>315</v>
      </c>
      <c r="R29" s="227"/>
      <c r="S29" s="230"/>
      <c r="T29" s="230"/>
      <c r="U29" s="232"/>
      <c r="V29" s="230"/>
      <c r="W29" s="231"/>
      <c r="X29" s="230"/>
      <c r="Y29" s="230"/>
      <c r="Z29" s="230"/>
      <c r="AA29" s="232"/>
      <c r="AB29" s="230"/>
      <c r="AC29" s="230"/>
      <c r="AD29" s="233"/>
      <c r="AE29" s="230"/>
      <c r="AF29" s="234"/>
      <c r="AG29" s="224"/>
      <c r="AH29" s="227" t="s">
        <v>314</v>
      </c>
      <c r="AI29" s="230">
        <f>AI31</f>
        <v>2</v>
      </c>
      <c r="AJ29" s="230" t="s">
        <v>315</v>
      </c>
      <c r="AK29" s="232" t="s">
        <v>314</v>
      </c>
      <c r="AL29" s="230"/>
      <c r="AM29" s="231" t="s">
        <v>315</v>
      </c>
      <c r="AN29" s="230" t="s">
        <v>314</v>
      </c>
      <c r="AO29" s="230">
        <f>AO31</f>
        <v>2</v>
      </c>
      <c r="AP29" s="230" t="s">
        <v>315</v>
      </c>
      <c r="AQ29" s="232" t="s">
        <v>314</v>
      </c>
      <c r="AR29" s="230">
        <f>AR31</f>
        <v>2</v>
      </c>
      <c r="AS29" s="230" t="s">
        <v>315</v>
      </c>
      <c r="AT29" s="233" t="s">
        <v>314</v>
      </c>
      <c r="AU29" s="230">
        <f>AU31</f>
        <v>0</v>
      </c>
      <c r="AV29" s="234" t="s">
        <v>315</v>
      </c>
      <c r="AW29" s="229" t="s">
        <v>145</v>
      </c>
      <c r="AX29" s="220">
        <f>AX31</f>
        <v>0</v>
      </c>
      <c r="AY29" s="230" t="s">
        <v>146</v>
      </c>
      <c r="AZ29" s="232" t="s">
        <v>145</v>
      </c>
      <c r="BA29" s="230">
        <f>BA31</f>
        <v>0</v>
      </c>
      <c r="BB29" s="231" t="s">
        <v>146</v>
      </c>
      <c r="BC29" s="230" t="s">
        <v>145</v>
      </c>
      <c r="BD29" s="230">
        <f>BD31</f>
        <v>0</v>
      </c>
      <c r="BE29" s="230" t="s">
        <v>146</v>
      </c>
      <c r="BF29" s="232" t="s">
        <v>145</v>
      </c>
      <c r="BG29" s="230">
        <f t="shared" si="3"/>
        <v>0</v>
      </c>
      <c r="BH29" s="230" t="s">
        <v>146</v>
      </c>
      <c r="BI29" s="233" t="s">
        <v>145</v>
      </c>
      <c r="BJ29" s="230">
        <f>BJ31</f>
        <v>0</v>
      </c>
      <c r="BK29" s="426" t="s">
        <v>146</v>
      </c>
      <c r="BL29" s="235"/>
    </row>
    <row r="30" spans="1:64" s="228" customFormat="1" ht="15.75" customHeight="1" thickBot="1">
      <c r="A30" s="576"/>
      <c r="B30" s="577"/>
      <c r="C30" s="225"/>
      <c r="D30" s="237">
        <f t="shared" si="1"/>
        <v>47205.422116999995</v>
      </c>
      <c r="E30" s="220"/>
      <c r="F30" s="221"/>
      <c r="G30" s="220">
        <f>G32</f>
        <v>36240.8129</v>
      </c>
      <c r="H30" s="222"/>
      <c r="I30" s="220"/>
      <c r="J30" s="220">
        <f>J32</f>
        <v>120.050217</v>
      </c>
      <c r="K30" s="220"/>
      <c r="L30" s="221"/>
      <c r="M30" s="237">
        <f>M32</f>
        <v>36360.863117</v>
      </c>
      <c r="N30" s="220"/>
      <c r="O30" s="223"/>
      <c r="P30" s="220">
        <f>P32</f>
        <v>10844.558999999997</v>
      </c>
      <c r="Q30" s="224"/>
      <c r="R30" s="225"/>
      <c r="S30" s="237">
        <f>AB30+AE30</f>
        <v>35280.8974</v>
      </c>
      <c r="T30" s="220"/>
      <c r="U30" s="221"/>
      <c r="V30" s="220">
        <f>V32</f>
        <v>30238.6552</v>
      </c>
      <c r="W30" s="222"/>
      <c r="X30" s="220"/>
      <c r="Y30" s="220">
        <f>Y32</f>
        <v>18.4538</v>
      </c>
      <c r="Z30" s="220"/>
      <c r="AA30" s="221"/>
      <c r="AB30" s="237">
        <f>V30+Y30</f>
        <v>30257.109</v>
      </c>
      <c r="AC30" s="220"/>
      <c r="AD30" s="223"/>
      <c r="AE30" s="220">
        <f>AE32</f>
        <v>5023.7883999999995</v>
      </c>
      <c r="AF30" s="242"/>
      <c r="AG30" s="224"/>
      <c r="AH30" s="225"/>
      <c r="AI30" s="237">
        <f>AR30+AU30</f>
        <v>10838.459503999999</v>
      </c>
      <c r="AJ30" s="220"/>
      <c r="AK30" s="221"/>
      <c r="AL30" s="220">
        <f>AL32</f>
        <v>5372.1029</v>
      </c>
      <c r="AM30" s="222"/>
      <c r="AN30" s="220"/>
      <c r="AO30" s="220">
        <f>AO32</f>
        <v>101.187404</v>
      </c>
      <c r="AP30" s="220"/>
      <c r="AQ30" s="221"/>
      <c r="AR30" s="237">
        <f aca="true" t="shared" si="5" ref="AR30:AR48">AL30+AO30</f>
        <v>5473.290304</v>
      </c>
      <c r="AS30" s="220"/>
      <c r="AT30" s="223"/>
      <c r="AU30" s="220">
        <f>AU32</f>
        <v>5365.169199999999</v>
      </c>
      <c r="AV30" s="242"/>
      <c r="AW30" s="425"/>
      <c r="AX30" s="237">
        <f>AX32</f>
        <v>485.678097</v>
      </c>
      <c r="AY30" s="237"/>
      <c r="AZ30" s="238"/>
      <c r="BA30" s="237">
        <f>BA32</f>
        <v>274.1814</v>
      </c>
      <c r="BB30" s="239"/>
      <c r="BC30" s="237"/>
      <c r="BD30" s="237">
        <f>BD32</f>
        <v>0.37149699999999997</v>
      </c>
      <c r="BE30" s="237"/>
      <c r="BF30" s="238"/>
      <c r="BG30" s="237">
        <f t="shared" si="3"/>
        <v>274.552897</v>
      </c>
      <c r="BH30" s="237"/>
      <c r="BI30" s="240"/>
      <c r="BJ30" s="237">
        <f>BJ32</f>
        <v>211.1252</v>
      </c>
      <c r="BK30" s="247"/>
      <c r="BL30" s="243"/>
    </row>
    <row r="31" spans="1:65" s="245" customFormat="1" ht="15.75" customHeight="1">
      <c r="A31" s="569"/>
      <c r="B31" s="568" t="s">
        <v>154</v>
      </c>
      <c r="C31" s="271" t="s">
        <v>145</v>
      </c>
      <c r="D31" s="220">
        <f t="shared" si="1"/>
        <v>3521.8179999999998</v>
      </c>
      <c r="E31" s="230" t="s">
        <v>146</v>
      </c>
      <c r="F31" s="232" t="s">
        <v>145</v>
      </c>
      <c r="G31" s="230">
        <f>G33+G35+G37+G39+G41+G43+G45</f>
        <v>2968.843</v>
      </c>
      <c r="H31" s="231" t="s">
        <v>146</v>
      </c>
      <c r="I31" s="230" t="s">
        <v>145</v>
      </c>
      <c r="J31" s="230">
        <f>J33+J35+J37+J39+J41+J43+J45</f>
        <v>2</v>
      </c>
      <c r="K31" s="230" t="s">
        <v>146</v>
      </c>
      <c r="L31" s="232" t="s">
        <v>145</v>
      </c>
      <c r="M31" s="220">
        <f aca="true" t="shared" si="6" ref="M31:M66">G31+J31</f>
        <v>2970.843</v>
      </c>
      <c r="N31" s="230" t="s">
        <v>146</v>
      </c>
      <c r="O31" s="233" t="s">
        <v>145</v>
      </c>
      <c r="P31" s="230">
        <f>P33+P35+P37+P39+P41+P43+P45</f>
        <v>550.975</v>
      </c>
      <c r="Q31" s="426" t="s">
        <v>146</v>
      </c>
      <c r="R31" s="229"/>
      <c r="S31" s="220"/>
      <c r="T31" s="230"/>
      <c r="U31" s="232"/>
      <c r="V31" s="230"/>
      <c r="W31" s="231"/>
      <c r="X31" s="230"/>
      <c r="Y31" s="230"/>
      <c r="Z31" s="230"/>
      <c r="AA31" s="232"/>
      <c r="AB31" s="220"/>
      <c r="AC31" s="230"/>
      <c r="AD31" s="233"/>
      <c r="AE31" s="230"/>
      <c r="AF31" s="234"/>
      <c r="AG31" s="224"/>
      <c r="AH31" s="229" t="s">
        <v>145</v>
      </c>
      <c r="AI31" s="220">
        <f>AR31+AU31</f>
        <v>2</v>
      </c>
      <c r="AJ31" s="230" t="s">
        <v>146</v>
      </c>
      <c r="AK31" s="232" t="s">
        <v>145</v>
      </c>
      <c r="AL31" s="230">
        <f>AL33+AL35+AL37+AL39+AL41+AL43+AL45</f>
        <v>0</v>
      </c>
      <c r="AM31" s="231" t="s">
        <v>146</v>
      </c>
      <c r="AN31" s="230" t="s">
        <v>145</v>
      </c>
      <c r="AO31" s="230">
        <f>AO33+AO35+AO37+AO39+AO41+AO43+AO45</f>
        <v>2</v>
      </c>
      <c r="AP31" s="230" t="s">
        <v>146</v>
      </c>
      <c r="AQ31" s="232" t="s">
        <v>145</v>
      </c>
      <c r="AR31" s="230">
        <f t="shared" si="5"/>
        <v>2</v>
      </c>
      <c r="AS31" s="230" t="s">
        <v>146</v>
      </c>
      <c r="AT31" s="233" t="s">
        <v>145</v>
      </c>
      <c r="AU31" s="230">
        <f>AU33+AU35+AU37+AU39+AU41+AU43+AU45</f>
        <v>0</v>
      </c>
      <c r="AV31" s="234" t="s">
        <v>146</v>
      </c>
      <c r="AW31" s="229" t="s">
        <v>145</v>
      </c>
      <c r="AX31" s="220">
        <f>BG31+BJ31</f>
        <v>0</v>
      </c>
      <c r="AY31" s="230" t="s">
        <v>146</v>
      </c>
      <c r="AZ31" s="232" t="s">
        <v>145</v>
      </c>
      <c r="BA31" s="230">
        <f>BA33+BA35+BA37+BA39+BA41+BA43+BA45</f>
        <v>0</v>
      </c>
      <c r="BB31" s="231" t="s">
        <v>146</v>
      </c>
      <c r="BC31" s="230" t="s">
        <v>145</v>
      </c>
      <c r="BD31" s="230">
        <f>BD33+BD35+BD37+BD39+BD41+BD43+BD45</f>
        <v>0</v>
      </c>
      <c r="BE31" s="230" t="s">
        <v>146</v>
      </c>
      <c r="BF31" s="232" t="s">
        <v>145</v>
      </c>
      <c r="BG31" s="230">
        <f t="shared" si="3"/>
        <v>0</v>
      </c>
      <c r="BH31" s="230" t="s">
        <v>146</v>
      </c>
      <c r="BI31" s="233" t="s">
        <v>145</v>
      </c>
      <c r="BJ31" s="230">
        <f>BJ33+BJ35+BJ37+BJ39+BJ41+BJ43+BJ45</f>
        <v>0</v>
      </c>
      <c r="BK31" s="426" t="s">
        <v>146</v>
      </c>
      <c r="BL31" s="244"/>
      <c r="BM31" s="228"/>
    </row>
    <row r="32" spans="1:65" s="245" customFormat="1" ht="15.75" customHeight="1" thickBot="1">
      <c r="A32" s="706"/>
      <c r="B32" s="707"/>
      <c r="C32" s="236"/>
      <c r="D32" s="237">
        <f t="shared" si="1"/>
        <v>47205.422116999995</v>
      </c>
      <c r="E32" s="237"/>
      <c r="F32" s="238"/>
      <c r="G32" s="237">
        <f>G34+G36+G38+G40+G42+G44+G46</f>
        <v>36240.8129</v>
      </c>
      <c r="H32" s="239"/>
      <c r="I32" s="237"/>
      <c r="J32" s="237">
        <f>J34+J36+J38+J40+J42+J44+J46</f>
        <v>120.050217</v>
      </c>
      <c r="K32" s="237"/>
      <c r="L32" s="238"/>
      <c r="M32" s="237">
        <f t="shared" si="6"/>
        <v>36360.863117</v>
      </c>
      <c r="N32" s="237"/>
      <c r="O32" s="240"/>
      <c r="P32" s="237">
        <f>P34+P36+P38+P40+P42+P44+P46</f>
        <v>10844.558999999997</v>
      </c>
      <c r="Q32" s="241"/>
      <c r="R32" s="246"/>
      <c r="S32" s="237">
        <f>AB32+AE32</f>
        <v>35280.8974</v>
      </c>
      <c r="T32" s="237"/>
      <c r="U32" s="238"/>
      <c r="V32" s="237">
        <f>V34+V36+V38+V40+V42+V44+V46</f>
        <v>30238.6552</v>
      </c>
      <c r="W32" s="239"/>
      <c r="X32" s="237"/>
      <c r="Y32" s="237">
        <f>Y34+Y36+Y38+Y40+Y42+Y44+Y46</f>
        <v>18.4538</v>
      </c>
      <c r="Z32" s="237"/>
      <c r="AA32" s="238"/>
      <c r="AB32" s="237">
        <f aca="true" t="shared" si="7" ref="AB32:AB54">V32+Y32</f>
        <v>30257.109</v>
      </c>
      <c r="AC32" s="237"/>
      <c r="AD32" s="240"/>
      <c r="AE32" s="237">
        <f>AE34+AE36+AE38+AE40+AE42+AE44+AE46</f>
        <v>5023.7883999999995</v>
      </c>
      <c r="AF32" s="247"/>
      <c r="AG32" s="224"/>
      <c r="AH32" s="425"/>
      <c r="AI32" s="237">
        <f>AR32+AU32</f>
        <v>10838.459503999999</v>
      </c>
      <c r="AJ32" s="237"/>
      <c r="AK32" s="238"/>
      <c r="AL32" s="237">
        <f>AL34+AL36+AL38+AL40+AL42+AL44+AL46</f>
        <v>5372.1029</v>
      </c>
      <c r="AM32" s="239"/>
      <c r="AN32" s="237"/>
      <c r="AO32" s="237">
        <f>AO34+AO36+AO38+AO40+AO42+AO44+AO46</f>
        <v>101.187404</v>
      </c>
      <c r="AP32" s="237"/>
      <c r="AQ32" s="238"/>
      <c r="AR32" s="237">
        <f t="shared" si="5"/>
        <v>5473.290304</v>
      </c>
      <c r="AS32" s="237"/>
      <c r="AT32" s="240"/>
      <c r="AU32" s="237">
        <f>AU34+AU36+AU38+AU40+AU42+AU44+AU46</f>
        <v>5365.169199999999</v>
      </c>
      <c r="AV32" s="247"/>
      <c r="AW32" s="425"/>
      <c r="AX32" s="237">
        <f>BG32+BJ32</f>
        <v>485.678097</v>
      </c>
      <c r="AY32" s="237"/>
      <c r="AZ32" s="238"/>
      <c r="BA32" s="237">
        <f>BA34+BA36+BA38+BA40+BA42+BA44+BA46</f>
        <v>274.1814</v>
      </c>
      <c r="BB32" s="239"/>
      <c r="BC32" s="237"/>
      <c r="BD32" s="237">
        <f>BD34+BD36+BD38+BD40+BD42+BD44+BD46</f>
        <v>0.37149699999999997</v>
      </c>
      <c r="BE32" s="237"/>
      <c r="BF32" s="238"/>
      <c r="BG32" s="237">
        <f t="shared" si="3"/>
        <v>274.552897</v>
      </c>
      <c r="BH32" s="237"/>
      <c r="BI32" s="240"/>
      <c r="BJ32" s="237">
        <f>BJ34+BJ36+BJ38+BJ40+BJ42+BJ44+BJ46</f>
        <v>211.1252</v>
      </c>
      <c r="BK32" s="247"/>
      <c r="BL32" s="249"/>
      <c r="BM32" s="228"/>
    </row>
    <row r="33" spans="1:65" s="197" customFormat="1" ht="15.75" customHeight="1">
      <c r="A33" s="572">
        <v>6</v>
      </c>
      <c r="B33" s="574" t="s">
        <v>155</v>
      </c>
      <c r="C33" s="272" t="s">
        <v>145</v>
      </c>
      <c r="D33" s="209">
        <f t="shared" si="1"/>
        <v>95.5495</v>
      </c>
      <c r="E33" s="209" t="s">
        <v>146</v>
      </c>
      <c r="F33" s="212" t="s">
        <v>145</v>
      </c>
      <c r="G33" s="209">
        <f>V33+AL33+BA33+その３!G33+その３!V33+その３!AL33+その３!BA33+その３!BS33+その３!CH33+その３!CX33</f>
        <v>95.5495</v>
      </c>
      <c r="H33" s="423" t="s">
        <v>146</v>
      </c>
      <c r="I33" s="209" t="s">
        <v>145</v>
      </c>
      <c r="J33" s="209">
        <f>Y33+AO33+BD33+その３!J33+その３!Y33+その３!AO33+その３!BD33+その３!BV33+その３!CK33+その３!DA33</f>
        <v>0</v>
      </c>
      <c r="K33" s="209" t="s">
        <v>146</v>
      </c>
      <c r="L33" s="212" t="s">
        <v>145</v>
      </c>
      <c r="M33" s="209">
        <f t="shared" si="6"/>
        <v>95.5495</v>
      </c>
      <c r="N33" s="209" t="s">
        <v>146</v>
      </c>
      <c r="O33" s="427" t="s">
        <v>145</v>
      </c>
      <c r="P33" s="209">
        <f>AE33+AU33+BJ33+その３!P33+その３!AE33+その３!AU33+その３!BJ33+その３!CB33+その３!CQ33+その３!DG33</f>
        <v>0</v>
      </c>
      <c r="Q33" s="252" t="s">
        <v>146</v>
      </c>
      <c r="R33" s="208"/>
      <c r="S33" s="209"/>
      <c r="T33" s="209"/>
      <c r="U33" s="212"/>
      <c r="V33" s="209"/>
      <c r="W33" s="209"/>
      <c r="X33" s="212"/>
      <c r="Y33" s="209"/>
      <c r="Z33" s="209"/>
      <c r="AA33" s="212"/>
      <c r="AB33" s="209">
        <f t="shared" si="7"/>
        <v>0</v>
      </c>
      <c r="AC33" s="209"/>
      <c r="AD33" s="212"/>
      <c r="AE33" s="209"/>
      <c r="AF33" s="211"/>
      <c r="AG33" s="209"/>
      <c r="AH33" s="208" t="s">
        <v>145</v>
      </c>
      <c r="AI33" s="209"/>
      <c r="AJ33" s="209" t="s">
        <v>146</v>
      </c>
      <c r="AK33" s="212" t="s">
        <v>145</v>
      </c>
      <c r="AL33" s="209"/>
      <c r="AM33" s="209" t="s">
        <v>146</v>
      </c>
      <c r="AN33" s="212" t="s">
        <v>145</v>
      </c>
      <c r="AO33" s="209"/>
      <c r="AP33" s="209" t="s">
        <v>146</v>
      </c>
      <c r="AQ33" s="212" t="s">
        <v>145</v>
      </c>
      <c r="AR33" s="209">
        <f t="shared" si="5"/>
        <v>0</v>
      </c>
      <c r="AS33" s="209" t="s">
        <v>146</v>
      </c>
      <c r="AT33" s="212" t="s">
        <v>145</v>
      </c>
      <c r="AU33" s="209"/>
      <c r="AV33" s="211" t="s">
        <v>146</v>
      </c>
      <c r="AW33" s="208" t="s">
        <v>145</v>
      </c>
      <c r="AX33" s="209"/>
      <c r="AY33" s="209" t="s">
        <v>146</v>
      </c>
      <c r="AZ33" s="212" t="s">
        <v>145</v>
      </c>
      <c r="BA33" s="209"/>
      <c r="BB33" s="209" t="s">
        <v>146</v>
      </c>
      <c r="BC33" s="212" t="s">
        <v>145</v>
      </c>
      <c r="BD33" s="209"/>
      <c r="BE33" s="209" t="s">
        <v>146</v>
      </c>
      <c r="BF33" s="212" t="s">
        <v>145</v>
      </c>
      <c r="BG33" s="209">
        <f t="shared" si="3"/>
        <v>0</v>
      </c>
      <c r="BH33" s="209" t="s">
        <v>146</v>
      </c>
      <c r="BI33" s="212" t="s">
        <v>145</v>
      </c>
      <c r="BJ33" s="209"/>
      <c r="BK33" s="209" t="s">
        <v>146</v>
      </c>
      <c r="BL33" s="570">
        <v>6</v>
      </c>
      <c r="BM33" s="199"/>
    </row>
    <row r="34" spans="1:65" s="197" customFormat="1" ht="15.75" customHeight="1">
      <c r="A34" s="572"/>
      <c r="B34" s="574"/>
      <c r="C34" s="272"/>
      <c r="D34" s="254">
        <f t="shared" si="1"/>
        <v>9977.404747</v>
      </c>
      <c r="E34" s="209"/>
      <c r="F34" s="212"/>
      <c r="G34" s="254">
        <f>V34+AL34+BA34+その３!G34+その３!V34+その３!AL34+その３!BA34+その３!BS34+その３!CH34+その３!CX34</f>
        <v>9038.5116</v>
      </c>
      <c r="H34" s="423"/>
      <c r="I34" s="209"/>
      <c r="J34" s="254">
        <f>Y34+AO34+BD34+その３!J34+その３!Y34+その３!AO34+その３!BD34+その３!BV34+その３!CK34+その３!DA34</f>
        <v>2.601247</v>
      </c>
      <c r="K34" s="209"/>
      <c r="L34" s="212"/>
      <c r="M34" s="254">
        <f t="shared" si="6"/>
        <v>9041.112847</v>
      </c>
      <c r="N34" s="209"/>
      <c r="O34" s="427"/>
      <c r="P34" s="254">
        <f>AE34+AU34+BJ34+その３!P34+その３!AE34+その３!AU34+その３!BJ34+その３!CB34+その３!CQ34+その３!DG34</f>
        <v>936.2918999999999</v>
      </c>
      <c r="Q34" s="252"/>
      <c r="R34" s="208"/>
      <c r="S34" s="254">
        <f>AB34+AE34</f>
        <v>9218.8636</v>
      </c>
      <c r="T34" s="209"/>
      <c r="U34" s="212"/>
      <c r="V34" s="209">
        <v>8748.6833</v>
      </c>
      <c r="W34" s="209"/>
      <c r="X34" s="212"/>
      <c r="Y34" s="254">
        <f>0.9384</f>
        <v>0.9384</v>
      </c>
      <c r="Z34" s="209"/>
      <c r="AA34" s="212"/>
      <c r="AB34" s="254">
        <f t="shared" si="7"/>
        <v>8749.6217</v>
      </c>
      <c r="AC34" s="209"/>
      <c r="AD34" s="212"/>
      <c r="AE34" s="209">
        <v>469.2419</v>
      </c>
      <c r="AF34" s="211"/>
      <c r="AG34" s="209"/>
      <c r="AH34" s="208"/>
      <c r="AI34" s="254">
        <f>AR34+AU34</f>
        <v>480.221947</v>
      </c>
      <c r="AJ34" s="209"/>
      <c r="AK34" s="212"/>
      <c r="AL34" s="209">
        <v>31.3121</v>
      </c>
      <c r="AM34" s="209"/>
      <c r="AN34" s="212"/>
      <c r="AO34" s="256">
        <f>0.0083+0.032991+1.572956</f>
        <v>1.614247</v>
      </c>
      <c r="AP34" s="209"/>
      <c r="AQ34" s="212"/>
      <c r="AR34" s="254">
        <f t="shared" si="5"/>
        <v>32.926347</v>
      </c>
      <c r="AS34" s="209"/>
      <c r="AT34" s="212"/>
      <c r="AU34" s="708">
        <v>447.2956</v>
      </c>
      <c r="AV34" s="211"/>
      <c r="AW34" s="208"/>
      <c r="AX34" s="254">
        <f>BG34+BJ34</f>
        <v>74.13380000000001</v>
      </c>
      <c r="AY34" s="209"/>
      <c r="AZ34" s="212"/>
      <c r="BA34" s="209">
        <v>60.2935</v>
      </c>
      <c r="BB34" s="209"/>
      <c r="BC34" s="212"/>
      <c r="BD34" s="209">
        <f>0.0486</f>
        <v>0.0486</v>
      </c>
      <c r="BE34" s="209"/>
      <c r="BF34" s="212"/>
      <c r="BG34" s="254">
        <f t="shared" si="3"/>
        <v>60.3421</v>
      </c>
      <c r="BH34" s="209"/>
      <c r="BI34" s="212"/>
      <c r="BJ34" s="209">
        <v>13.7917</v>
      </c>
      <c r="BK34" s="209"/>
      <c r="BL34" s="571"/>
      <c r="BM34" s="199"/>
    </row>
    <row r="35" spans="1:65" s="197" customFormat="1" ht="15.75" customHeight="1">
      <c r="A35" s="579">
        <f>A33+1</f>
        <v>7</v>
      </c>
      <c r="B35" s="578" t="s">
        <v>156</v>
      </c>
      <c r="C35" s="273" t="s">
        <v>145</v>
      </c>
      <c r="D35" s="209">
        <f t="shared" si="1"/>
        <v>60.900999999999996</v>
      </c>
      <c r="E35" s="258" t="s">
        <v>146</v>
      </c>
      <c r="F35" s="259" t="s">
        <v>145</v>
      </c>
      <c r="G35" s="209">
        <f>V35+AL35+BA35+その３!G35+その３!V35+その３!AL35+その３!BA35+その３!BS35+その３!CH35+その３!CX35</f>
        <v>59.83</v>
      </c>
      <c r="H35" s="429" t="s">
        <v>146</v>
      </c>
      <c r="I35" s="258" t="s">
        <v>145</v>
      </c>
      <c r="J35" s="209">
        <f>Y35+AO35+BD35+その３!J35+その３!Y35+その３!AO35+その３!BD35+その３!BV35+その３!CK35+その３!DA35</f>
        <v>0</v>
      </c>
      <c r="K35" s="258" t="s">
        <v>146</v>
      </c>
      <c r="L35" s="259" t="s">
        <v>145</v>
      </c>
      <c r="M35" s="209">
        <f t="shared" si="6"/>
        <v>59.83</v>
      </c>
      <c r="N35" s="258" t="s">
        <v>146</v>
      </c>
      <c r="O35" s="430" t="s">
        <v>145</v>
      </c>
      <c r="P35" s="209">
        <f>AE35+AU35+BJ35+その３!P35+その３!AE35+その３!AU35+その３!BJ35+その３!CB35+その３!CQ35+その３!DG35</f>
        <v>1.071</v>
      </c>
      <c r="Q35" s="260" t="s">
        <v>146</v>
      </c>
      <c r="R35" s="261"/>
      <c r="S35" s="209"/>
      <c r="T35" s="258"/>
      <c r="U35" s="259"/>
      <c r="V35" s="258"/>
      <c r="W35" s="258"/>
      <c r="X35" s="259"/>
      <c r="Y35" s="258"/>
      <c r="Z35" s="258"/>
      <c r="AA35" s="259"/>
      <c r="AB35" s="209">
        <f t="shared" si="7"/>
        <v>0</v>
      </c>
      <c r="AC35" s="258"/>
      <c r="AD35" s="259"/>
      <c r="AE35" s="258"/>
      <c r="AF35" s="262"/>
      <c r="AG35" s="209"/>
      <c r="AH35" s="261" t="s">
        <v>145</v>
      </c>
      <c r="AI35" s="209"/>
      <c r="AJ35" s="258" t="s">
        <v>146</v>
      </c>
      <c r="AK35" s="259" t="s">
        <v>145</v>
      </c>
      <c r="AL35" s="258"/>
      <c r="AM35" s="258" t="s">
        <v>146</v>
      </c>
      <c r="AN35" s="259" t="s">
        <v>145</v>
      </c>
      <c r="AO35" s="258"/>
      <c r="AP35" s="258" t="s">
        <v>146</v>
      </c>
      <c r="AQ35" s="259" t="s">
        <v>145</v>
      </c>
      <c r="AR35" s="209">
        <f t="shared" si="5"/>
        <v>0</v>
      </c>
      <c r="AS35" s="258" t="s">
        <v>146</v>
      </c>
      <c r="AT35" s="259" t="s">
        <v>145</v>
      </c>
      <c r="AU35" s="258"/>
      <c r="AV35" s="262" t="s">
        <v>146</v>
      </c>
      <c r="AW35" s="261" t="s">
        <v>145</v>
      </c>
      <c r="AX35" s="209"/>
      <c r="AY35" s="258" t="s">
        <v>146</v>
      </c>
      <c r="AZ35" s="259" t="s">
        <v>145</v>
      </c>
      <c r="BA35" s="258"/>
      <c r="BB35" s="258" t="s">
        <v>146</v>
      </c>
      <c r="BC35" s="259" t="s">
        <v>145</v>
      </c>
      <c r="BD35" s="258"/>
      <c r="BE35" s="258" t="s">
        <v>146</v>
      </c>
      <c r="BF35" s="259" t="s">
        <v>145</v>
      </c>
      <c r="BG35" s="209">
        <f t="shared" si="3"/>
        <v>0</v>
      </c>
      <c r="BH35" s="258" t="s">
        <v>146</v>
      </c>
      <c r="BI35" s="259" t="s">
        <v>145</v>
      </c>
      <c r="BJ35" s="258"/>
      <c r="BK35" s="258" t="s">
        <v>146</v>
      </c>
      <c r="BL35" s="584">
        <f>BL33+1</f>
        <v>7</v>
      </c>
      <c r="BM35" s="199"/>
    </row>
    <row r="36" spans="1:65" s="197" customFormat="1" ht="15.75" customHeight="1">
      <c r="A36" s="580"/>
      <c r="B36" s="709"/>
      <c r="C36" s="274"/>
      <c r="D36" s="254">
        <f t="shared" si="1"/>
        <v>8713.715333</v>
      </c>
      <c r="E36" s="254"/>
      <c r="F36" s="255"/>
      <c r="G36" s="254">
        <f>V36+AL36+BA36+その３!G36+その３!V36+その３!AL36+その３!BA36+その３!BS36+その３!CH36+その３!CX36</f>
        <v>5071.6596</v>
      </c>
      <c r="H36" s="428"/>
      <c r="I36" s="254"/>
      <c r="J36" s="254">
        <f>Y36+AO36+BD36+その３!J36+その３!Y36+その３!AO36+その３!BD36+その３!BV36+その３!CK36+その３!DA36</f>
        <v>4.275333</v>
      </c>
      <c r="K36" s="254"/>
      <c r="L36" s="255"/>
      <c r="M36" s="254">
        <f t="shared" si="6"/>
        <v>5075.934933</v>
      </c>
      <c r="N36" s="254"/>
      <c r="O36" s="431"/>
      <c r="P36" s="254">
        <f>AE36+AU36+BJ36+その３!P36+その３!AE36+その３!AU36+その３!BJ36+その３!CB36+その３!CQ36+その３!DG36</f>
        <v>3637.7804</v>
      </c>
      <c r="Q36" s="263"/>
      <c r="R36" s="264"/>
      <c r="S36" s="254">
        <f>AB36+AE36</f>
        <v>5338.4563</v>
      </c>
      <c r="T36" s="254"/>
      <c r="U36" s="255"/>
      <c r="V36" s="254">
        <v>4746.4271</v>
      </c>
      <c r="W36" s="254"/>
      <c r="X36" s="255"/>
      <c r="Y36" s="256">
        <f>0.138</f>
        <v>0.138</v>
      </c>
      <c r="Z36" s="254"/>
      <c r="AA36" s="255"/>
      <c r="AB36" s="254">
        <f t="shared" si="7"/>
        <v>4746.5651</v>
      </c>
      <c r="AC36" s="254"/>
      <c r="AD36" s="255"/>
      <c r="AE36" s="254">
        <v>591.8912</v>
      </c>
      <c r="AF36" s="265"/>
      <c r="AG36" s="209"/>
      <c r="AH36" s="264"/>
      <c r="AI36" s="254">
        <f>AR36+AU36</f>
        <v>2960.334736</v>
      </c>
      <c r="AJ36" s="254"/>
      <c r="AK36" s="255"/>
      <c r="AL36" s="254">
        <v>82.2476</v>
      </c>
      <c r="AM36" s="254"/>
      <c r="AN36" s="255"/>
      <c r="AO36" s="256">
        <f>0.0033+3.208636+0.8716</f>
        <v>4.083536</v>
      </c>
      <c r="AP36" s="254"/>
      <c r="AQ36" s="255"/>
      <c r="AR36" s="254">
        <f t="shared" si="5"/>
        <v>86.331136</v>
      </c>
      <c r="AS36" s="254"/>
      <c r="AT36" s="255"/>
      <c r="AU36" s="710">
        <v>2874.0036</v>
      </c>
      <c r="AV36" s="265"/>
      <c r="AW36" s="264"/>
      <c r="AX36" s="254">
        <f>BG36+BJ36</f>
        <v>103.283197</v>
      </c>
      <c r="AY36" s="254"/>
      <c r="AZ36" s="255"/>
      <c r="BA36" s="254">
        <v>97.688</v>
      </c>
      <c r="BB36" s="254"/>
      <c r="BC36" s="255"/>
      <c r="BD36" s="266">
        <f>0.053797</f>
        <v>0.053797</v>
      </c>
      <c r="BE36" s="254"/>
      <c r="BF36" s="255"/>
      <c r="BG36" s="254">
        <f t="shared" si="3"/>
        <v>97.741797</v>
      </c>
      <c r="BH36" s="254"/>
      <c r="BI36" s="255"/>
      <c r="BJ36" s="254">
        <v>5.5414</v>
      </c>
      <c r="BK36" s="254"/>
      <c r="BL36" s="571"/>
      <c r="BM36" s="199"/>
    </row>
    <row r="37" spans="1:65" s="197" customFormat="1" ht="15.75" customHeight="1">
      <c r="A37" s="579">
        <v>8</v>
      </c>
      <c r="B37" s="574" t="s">
        <v>157</v>
      </c>
      <c r="C37" s="272" t="s">
        <v>145</v>
      </c>
      <c r="D37" s="209">
        <f t="shared" si="1"/>
        <v>0</v>
      </c>
      <c r="E37" s="209" t="s">
        <v>146</v>
      </c>
      <c r="F37" s="212" t="s">
        <v>145</v>
      </c>
      <c r="G37" s="209">
        <f>V37+AL37+BA37+その３!G37+その３!V37+その３!AL37+その３!BA37+その３!BS37+その３!CH37+その３!CX37</f>
        <v>0</v>
      </c>
      <c r="H37" s="423" t="s">
        <v>146</v>
      </c>
      <c r="I37" s="209" t="s">
        <v>145</v>
      </c>
      <c r="J37" s="209">
        <f>Y37+AO37+BD37+その３!J37+その３!Y37+その３!AO37+その３!BD37+その３!BV37+その３!CK37+その３!DA37</f>
        <v>0</v>
      </c>
      <c r="K37" s="209" t="s">
        <v>146</v>
      </c>
      <c r="L37" s="212" t="s">
        <v>145</v>
      </c>
      <c r="M37" s="209">
        <f t="shared" si="6"/>
        <v>0</v>
      </c>
      <c r="N37" s="209" t="s">
        <v>146</v>
      </c>
      <c r="O37" s="427" t="s">
        <v>145</v>
      </c>
      <c r="P37" s="209">
        <f>AE37+AU37+BJ37+その３!P37+その３!AE37+その３!AU37+その３!BJ37+その３!CB37+その３!CQ37+その３!DG37</f>
        <v>0</v>
      </c>
      <c r="Q37" s="252" t="s">
        <v>146</v>
      </c>
      <c r="R37" s="208"/>
      <c r="S37" s="209"/>
      <c r="T37" s="209"/>
      <c r="U37" s="212"/>
      <c r="V37" s="209"/>
      <c r="W37" s="209"/>
      <c r="X37" s="212"/>
      <c r="Y37" s="209"/>
      <c r="Z37" s="209"/>
      <c r="AA37" s="212"/>
      <c r="AB37" s="209">
        <f t="shared" si="7"/>
        <v>0</v>
      </c>
      <c r="AC37" s="209"/>
      <c r="AD37" s="212"/>
      <c r="AE37" s="209"/>
      <c r="AF37" s="211"/>
      <c r="AG37" s="209"/>
      <c r="AH37" s="208" t="s">
        <v>145</v>
      </c>
      <c r="AI37" s="209"/>
      <c r="AJ37" s="209" t="s">
        <v>146</v>
      </c>
      <c r="AK37" s="212" t="s">
        <v>145</v>
      </c>
      <c r="AL37" s="209"/>
      <c r="AM37" s="209" t="s">
        <v>146</v>
      </c>
      <c r="AN37" s="212" t="s">
        <v>145</v>
      </c>
      <c r="AO37" s="209"/>
      <c r="AP37" s="209" t="s">
        <v>146</v>
      </c>
      <c r="AQ37" s="212" t="s">
        <v>145</v>
      </c>
      <c r="AR37" s="209">
        <f t="shared" si="5"/>
        <v>0</v>
      </c>
      <c r="AS37" s="209" t="s">
        <v>146</v>
      </c>
      <c r="AT37" s="212" t="s">
        <v>145</v>
      </c>
      <c r="AU37" s="209"/>
      <c r="AV37" s="211" t="s">
        <v>146</v>
      </c>
      <c r="AW37" s="208" t="s">
        <v>145</v>
      </c>
      <c r="AX37" s="209"/>
      <c r="AY37" s="209" t="s">
        <v>146</v>
      </c>
      <c r="AZ37" s="212" t="s">
        <v>145</v>
      </c>
      <c r="BA37" s="209"/>
      <c r="BB37" s="209" t="s">
        <v>146</v>
      </c>
      <c r="BC37" s="212" t="s">
        <v>145</v>
      </c>
      <c r="BD37" s="209"/>
      <c r="BE37" s="209" t="s">
        <v>146</v>
      </c>
      <c r="BF37" s="212" t="s">
        <v>145</v>
      </c>
      <c r="BG37" s="209">
        <f t="shared" si="3"/>
        <v>0</v>
      </c>
      <c r="BH37" s="209" t="s">
        <v>146</v>
      </c>
      <c r="BI37" s="212" t="s">
        <v>145</v>
      </c>
      <c r="BJ37" s="209"/>
      <c r="BK37" s="209" t="s">
        <v>146</v>
      </c>
      <c r="BL37" s="584">
        <f>BL35+1</f>
        <v>8</v>
      </c>
      <c r="BM37" s="199"/>
    </row>
    <row r="38" spans="1:65" s="197" customFormat="1" ht="15.75" customHeight="1">
      <c r="A38" s="580"/>
      <c r="B38" s="574"/>
      <c r="C38" s="272"/>
      <c r="D38" s="254">
        <f t="shared" si="1"/>
        <v>3492.849462</v>
      </c>
      <c r="E38" s="209"/>
      <c r="F38" s="212"/>
      <c r="G38" s="254">
        <f>V38+AL38+BA38+その３!G38+その３!V38+その３!AL38+その３!BA38+その３!BS38+その３!CH38+その３!CX38</f>
        <v>1137.3022</v>
      </c>
      <c r="H38" s="423"/>
      <c r="I38" s="209"/>
      <c r="J38" s="254">
        <f>Y38+AO38+BD38+その３!J38+その３!Y38+その３!AO38+その３!BD38+その３!BV38+その３!CK38+その３!DA38</f>
        <v>11.425062</v>
      </c>
      <c r="K38" s="209"/>
      <c r="L38" s="212"/>
      <c r="M38" s="254">
        <f t="shared" si="6"/>
        <v>1148.727262</v>
      </c>
      <c r="N38" s="209"/>
      <c r="O38" s="427"/>
      <c r="P38" s="254">
        <f>AE38+AU38+BJ38+その３!P38+その３!AE38+その３!AU38+その３!BJ38+その３!CB38+その３!CQ38+その３!DG38</f>
        <v>2344.1222</v>
      </c>
      <c r="Q38" s="252"/>
      <c r="R38" s="208"/>
      <c r="S38" s="254">
        <f>AB38+AE38</f>
        <v>1538.3565</v>
      </c>
      <c r="T38" s="209"/>
      <c r="U38" s="212"/>
      <c r="V38" s="209"/>
      <c r="W38" s="209"/>
      <c r="X38" s="212"/>
      <c r="Y38" s="209"/>
      <c r="Z38" s="209"/>
      <c r="AA38" s="212"/>
      <c r="AB38" s="254">
        <f t="shared" si="7"/>
        <v>0</v>
      </c>
      <c r="AC38" s="209"/>
      <c r="AD38" s="212"/>
      <c r="AE38" s="209">
        <v>1538.3565</v>
      </c>
      <c r="AF38" s="211"/>
      <c r="AG38" s="209"/>
      <c r="AH38" s="208"/>
      <c r="AI38" s="254">
        <f>AR38+AU38</f>
        <v>1878.404446</v>
      </c>
      <c r="AJ38" s="209"/>
      <c r="AK38" s="212"/>
      <c r="AL38" s="209">
        <v>1126.0941</v>
      </c>
      <c r="AM38" s="209"/>
      <c r="AN38" s="212"/>
      <c r="AO38" s="256">
        <f>1.1309+0.0433+10.193246</f>
        <v>11.367446000000001</v>
      </c>
      <c r="AP38" s="209"/>
      <c r="AQ38" s="212"/>
      <c r="AR38" s="254">
        <f t="shared" si="5"/>
        <v>1137.461546</v>
      </c>
      <c r="AS38" s="209"/>
      <c r="AT38" s="212"/>
      <c r="AU38" s="708">
        <v>740.9429</v>
      </c>
      <c r="AV38" s="211"/>
      <c r="AW38" s="208"/>
      <c r="AX38" s="254">
        <f>BG38+BJ38</f>
        <v>37.5525</v>
      </c>
      <c r="AY38" s="209"/>
      <c r="AZ38" s="212"/>
      <c r="BA38" s="209">
        <v>6.6243</v>
      </c>
      <c r="BB38" s="209"/>
      <c r="BC38" s="212"/>
      <c r="BD38" s="266">
        <f>0.0201</f>
        <v>0.0201</v>
      </c>
      <c r="BE38" s="209"/>
      <c r="BF38" s="212"/>
      <c r="BG38" s="254">
        <f t="shared" si="3"/>
        <v>6.6444</v>
      </c>
      <c r="BH38" s="209"/>
      <c r="BI38" s="212"/>
      <c r="BJ38" s="209">
        <v>30.9081</v>
      </c>
      <c r="BK38" s="209"/>
      <c r="BL38" s="571"/>
      <c r="BM38" s="199"/>
    </row>
    <row r="39" spans="1:65" s="197" customFormat="1" ht="15.75" customHeight="1">
      <c r="A39" s="579">
        <f>A37+1</f>
        <v>9</v>
      </c>
      <c r="B39" s="578" t="s">
        <v>158</v>
      </c>
      <c r="C39" s="273" t="s">
        <v>145</v>
      </c>
      <c r="D39" s="209">
        <f t="shared" si="1"/>
        <v>878.9761</v>
      </c>
      <c r="E39" s="258" t="s">
        <v>146</v>
      </c>
      <c r="F39" s="259" t="s">
        <v>145</v>
      </c>
      <c r="G39" s="209">
        <f>V39+AL39+BA39+その３!G39+その３!V39+その３!AL39+その３!BA39+その３!BS39+その３!CH39+その３!CX39</f>
        <v>349.929</v>
      </c>
      <c r="H39" s="429" t="s">
        <v>146</v>
      </c>
      <c r="I39" s="258" t="s">
        <v>145</v>
      </c>
      <c r="J39" s="209">
        <f>Y39+AO39+BD39+その３!J39+その３!Y39+その３!AO39+その３!BD39+その３!BV39+その３!CK39+その３!DA39</f>
        <v>0</v>
      </c>
      <c r="K39" s="258" t="s">
        <v>146</v>
      </c>
      <c r="L39" s="259" t="s">
        <v>145</v>
      </c>
      <c r="M39" s="209">
        <f t="shared" si="6"/>
        <v>349.929</v>
      </c>
      <c r="N39" s="258" t="s">
        <v>146</v>
      </c>
      <c r="O39" s="430" t="s">
        <v>145</v>
      </c>
      <c r="P39" s="209">
        <f>AE39+AU39+BJ39+その３!P39+その３!AE39+その３!AU39+その３!BJ39+その３!CB39+その３!CQ39+その３!DG39</f>
        <v>529.0471</v>
      </c>
      <c r="Q39" s="260" t="s">
        <v>146</v>
      </c>
      <c r="R39" s="261"/>
      <c r="S39" s="209"/>
      <c r="T39" s="258"/>
      <c r="U39" s="259"/>
      <c r="V39" s="258"/>
      <c r="W39" s="258"/>
      <c r="X39" s="259"/>
      <c r="Y39" s="258"/>
      <c r="Z39" s="258"/>
      <c r="AA39" s="259"/>
      <c r="AB39" s="209">
        <f t="shared" si="7"/>
        <v>0</v>
      </c>
      <c r="AC39" s="258"/>
      <c r="AD39" s="259"/>
      <c r="AE39" s="258"/>
      <c r="AF39" s="262"/>
      <c r="AG39" s="209"/>
      <c r="AH39" s="261" t="s">
        <v>145</v>
      </c>
      <c r="AI39" s="209"/>
      <c r="AJ39" s="258" t="s">
        <v>146</v>
      </c>
      <c r="AK39" s="259" t="s">
        <v>145</v>
      </c>
      <c r="AL39" s="258"/>
      <c r="AM39" s="258" t="s">
        <v>146</v>
      </c>
      <c r="AN39" s="259" t="s">
        <v>145</v>
      </c>
      <c r="AO39" s="258"/>
      <c r="AP39" s="258" t="s">
        <v>146</v>
      </c>
      <c r="AQ39" s="259" t="s">
        <v>145</v>
      </c>
      <c r="AR39" s="209">
        <f t="shared" si="5"/>
        <v>0</v>
      </c>
      <c r="AS39" s="258" t="s">
        <v>146</v>
      </c>
      <c r="AT39" s="259" t="s">
        <v>145</v>
      </c>
      <c r="AU39" s="258"/>
      <c r="AV39" s="262" t="s">
        <v>146</v>
      </c>
      <c r="AW39" s="261" t="s">
        <v>145</v>
      </c>
      <c r="AX39" s="209"/>
      <c r="AY39" s="258" t="s">
        <v>146</v>
      </c>
      <c r="AZ39" s="259" t="s">
        <v>145</v>
      </c>
      <c r="BA39" s="258"/>
      <c r="BB39" s="258" t="s">
        <v>146</v>
      </c>
      <c r="BC39" s="259" t="s">
        <v>145</v>
      </c>
      <c r="BD39" s="258"/>
      <c r="BE39" s="258" t="s">
        <v>146</v>
      </c>
      <c r="BF39" s="259" t="s">
        <v>145</v>
      </c>
      <c r="BG39" s="209">
        <f t="shared" si="3"/>
        <v>0</v>
      </c>
      <c r="BH39" s="258" t="s">
        <v>146</v>
      </c>
      <c r="BI39" s="259" t="s">
        <v>145</v>
      </c>
      <c r="BJ39" s="258"/>
      <c r="BK39" s="258" t="s">
        <v>146</v>
      </c>
      <c r="BL39" s="584">
        <f>BL37+1</f>
        <v>9</v>
      </c>
      <c r="BM39" s="199"/>
    </row>
    <row r="40" spans="1:65" s="197" customFormat="1" ht="15.75" customHeight="1">
      <c r="A40" s="580"/>
      <c r="B40" s="611"/>
      <c r="C40" s="274"/>
      <c r="D40" s="254">
        <f t="shared" si="1"/>
        <v>10983.172974999998</v>
      </c>
      <c r="E40" s="254"/>
      <c r="F40" s="255"/>
      <c r="G40" s="254">
        <f>V40+AL40+BA40+その３!G40+その３!V40+その３!AL40+その３!BA40+その３!BS40+その３!CH40+その３!CX40</f>
        <v>8807.547999999999</v>
      </c>
      <c r="H40" s="428"/>
      <c r="I40" s="254"/>
      <c r="J40" s="254">
        <f>Y40+AO40+BD40+その３!J40+その３!Y40+その３!AO40+その３!BD40+その３!BV40+その３!CK40+その３!DA40</f>
        <v>3.9291750000000003</v>
      </c>
      <c r="K40" s="254"/>
      <c r="L40" s="255"/>
      <c r="M40" s="254">
        <f t="shared" si="6"/>
        <v>8811.477174999998</v>
      </c>
      <c r="N40" s="254"/>
      <c r="O40" s="431"/>
      <c r="P40" s="254">
        <f>AE40+AU40+BJ40+その３!P40+その３!AE40+その３!AU40+その３!BJ40+その３!CB40+その３!CQ40+その３!DG40</f>
        <v>2171.6958</v>
      </c>
      <c r="Q40" s="263"/>
      <c r="R40" s="264"/>
      <c r="S40" s="254">
        <f>AB40+AE40</f>
        <v>8125.8067</v>
      </c>
      <c r="T40" s="254"/>
      <c r="U40" s="255"/>
      <c r="V40" s="254">
        <v>7355.0275</v>
      </c>
      <c r="W40" s="254"/>
      <c r="X40" s="255"/>
      <c r="Y40" s="254"/>
      <c r="Z40" s="254"/>
      <c r="AA40" s="255"/>
      <c r="AB40" s="254">
        <f t="shared" si="7"/>
        <v>7355.0275</v>
      </c>
      <c r="AC40" s="254"/>
      <c r="AD40" s="255"/>
      <c r="AE40" s="710">
        <v>770.7792</v>
      </c>
      <c r="AF40" s="265"/>
      <c r="AG40" s="209"/>
      <c r="AH40" s="264"/>
      <c r="AI40" s="254">
        <f>AR40+AU40</f>
        <v>2660.960975</v>
      </c>
      <c r="AJ40" s="254"/>
      <c r="AK40" s="255"/>
      <c r="AL40" s="254">
        <v>1446.847</v>
      </c>
      <c r="AM40" s="254"/>
      <c r="AN40" s="255"/>
      <c r="AO40" s="254">
        <f>3.680175</f>
        <v>3.680175</v>
      </c>
      <c r="AP40" s="254"/>
      <c r="AQ40" s="255"/>
      <c r="AR40" s="254">
        <f t="shared" si="5"/>
        <v>1450.527175</v>
      </c>
      <c r="AS40" s="254"/>
      <c r="AT40" s="255"/>
      <c r="AU40" s="254">
        <v>1210.4338</v>
      </c>
      <c r="AV40" s="265"/>
      <c r="AW40" s="264"/>
      <c r="AX40" s="254">
        <f>BG40+BJ40</f>
        <v>154.52069999999998</v>
      </c>
      <c r="AY40" s="254"/>
      <c r="AZ40" s="255"/>
      <c r="BA40" s="254">
        <v>2.0435</v>
      </c>
      <c r="BB40" s="254"/>
      <c r="BC40" s="255"/>
      <c r="BD40" s="266">
        <f>0.249</f>
        <v>0.249</v>
      </c>
      <c r="BE40" s="254"/>
      <c r="BF40" s="255"/>
      <c r="BG40" s="254">
        <f t="shared" si="3"/>
        <v>2.2925</v>
      </c>
      <c r="BH40" s="254"/>
      <c r="BI40" s="255"/>
      <c r="BJ40" s="254">
        <v>152.2282</v>
      </c>
      <c r="BK40" s="254"/>
      <c r="BL40" s="571"/>
      <c r="BM40" s="199"/>
    </row>
    <row r="41" spans="1:65" s="197" customFormat="1" ht="15.75" customHeight="1">
      <c r="A41" s="579">
        <f>A39+1</f>
        <v>10</v>
      </c>
      <c r="B41" s="574" t="s">
        <v>159</v>
      </c>
      <c r="C41" s="272" t="s">
        <v>145</v>
      </c>
      <c r="D41" s="209">
        <f t="shared" si="1"/>
        <v>611.9916</v>
      </c>
      <c r="E41" s="209" t="s">
        <v>146</v>
      </c>
      <c r="F41" s="212" t="s">
        <v>145</v>
      </c>
      <c r="G41" s="209">
        <f>V41+AL41+BA41+その３!G41+その３!V41+その３!AL41+その３!BA41+その３!BS41+その３!CH41+その３!CX41</f>
        <v>611.9916</v>
      </c>
      <c r="H41" s="423" t="s">
        <v>146</v>
      </c>
      <c r="I41" s="209" t="s">
        <v>145</v>
      </c>
      <c r="J41" s="209">
        <f>Y41+AO41+BD41+その３!J41+その３!Y41+その３!AO41+その３!BD41+その３!BV41+その３!CK41+その３!DA41</f>
        <v>0</v>
      </c>
      <c r="K41" s="209" t="s">
        <v>146</v>
      </c>
      <c r="L41" s="212" t="s">
        <v>145</v>
      </c>
      <c r="M41" s="209">
        <f t="shared" si="6"/>
        <v>611.9916</v>
      </c>
      <c r="N41" s="209" t="s">
        <v>146</v>
      </c>
      <c r="O41" s="427" t="s">
        <v>145</v>
      </c>
      <c r="P41" s="209">
        <f>AE41+AU41+BJ41+その３!P41+その３!AE41+その３!AU41+その３!BJ41+その３!CB41+その３!CQ41+その３!DG41</f>
        <v>0</v>
      </c>
      <c r="Q41" s="252" t="s">
        <v>146</v>
      </c>
      <c r="R41" s="208"/>
      <c r="S41" s="209"/>
      <c r="T41" s="209"/>
      <c r="U41" s="212"/>
      <c r="V41" s="209"/>
      <c r="W41" s="209"/>
      <c r="X41" s="212"/>
      <c r="Y41" s="209"/>
      <c r="Z41" s="209"/>
      <c r="AA41" s="212"/>
      <c r="AB41" s="209">
        <f t="shared" si="7"/>
        <v>0</v>
      </c>
      <c r="AC41" s="209"/>
      <c r="AD41" s="212"/>
      <c r="AE41" s="209"/>
      <c r="AF41" s="211"/>
      <c r="AG41" s="209"/>
      <c r="AH41" s="208" t="s">
        <v>145</v>
      </c>
      <c r="AI41" s="209"/>
      <c r="AJ41" s="209" t="s">
        <v>146</v>
      </c>
      <c r="AK41" s="212" t="s">
        <v>145</v>
      </c>
      <c r="AL41" s="209"/>
      <c r="AM41" s="209" t="s">
        <v>146</v>
      </c>
      <c r="AN41" s="212" t="s">
        <v>145</v>
      </c>
      <c r="AO41" s="209"/>
      <c r="AP41" s="209" t="s">
        <v>146</v>
      </c>
      <c r="AQ41" s="212" t="s">
        <v>145</v>
      </c>
      <c r="AR41" s="209">
        <f t="shared" si="5"/>
        <v>0</v>
      </c>
      <c r="AS41" s="209" t="s">
        <v>146</v>
      </c>
      <c r="AT41" s="212" t="s">
        <v>145</v>
      </c>
      <c r="AU41" s="209"/>
      <c r="AV41" s="211" t="s">
        <v>146</v>
      </c>
      <c r="AW41" s="208" t="s">
        <v>145</v>
      </c>
      <c r="AX41" s="209"/>
      <c r="AY41" s="209" t="s">
        <v>146</v>
      </c>
      <c r="AZ41" s="212" t="s">
        <v>145</v>
      </c>
      <c r="BA41" s="209"/>
      <c r="BB41" s="209" t="s">
        <v>146</v>
      </c>
      <c r="BC41" s="212" t="s">
        <v>145</v>
      </c>
      <c r="BD41" s="209"/>
      <c r="BE41" s="209" t="s">
        <v>146</v>
      </c>
      <c r="BF41" s="212" t="s">
        <v>145</v>
      </c>
      <c r="BG41" s="209">
        <f t="shared" si="3"/>
        <v>0</v>
      </c>
      <c r="BH41" s="209" t="s">
        <v>146</v>
      </c>
      <c r="BI41" s="212" t="s">
        <v>145</v>
      </c>
      <c r="BJ41" s="209"/>
      <c r="BK41" s="209" t="s">
        <v>146</v>
      </c>
      <c r="BL41" s="584">
        <f>BL39+1</f>
        <v>10</v>
      </c>
      <c r="BM41" s="199"/>
    </row>
    <row r="42" spans="1:65" s="197" customFormat="1" ht="15.75" customHeight="1">
      <c r="A42" s="580"/>
      <c r="B42" s="574"/>
      <c r="C42" s="272"/>
      <c r="D42" s="254">
        <f t="shared" si="1"/>
        <v>1969.7128</v>
      </c>
      <c r="E42" s="209"/>
      <c r="F42" s="212"/>
      <c r="G42" s="254">
        <f>V42+AL42+BA42+その３!G42+その３!V42+その３!AL42+その３!BA42+その３!BS42+その３!CH42+その３!CX42</f>
        <v>1948.9773</v>
      </c>
      <c r="H42" s="423"/>
      <c r="I42" s="209"/>
      <c r="J42" s="254">
        <f>Y42+AO42+BD42+その３!J42+その３!Y42+その３!AO42+その３!BD42+その３!BV42+その３!CK42+その３!DA42</f>
        <v>20.7355</v>
      </c>
      <c r="K42" s="209"/>
      <c r="L42" s="212"/>
      <c r="M42" s="254">
        <f t="shared" si="6"/>
        <v>1969.7128</v>
      </c>
      <c r="N42" s="209"/>
      <c r="O42" s="427"/>
      <c r="P42" s="254">
        <f>AE42+AU42+BJ42+その３!P42+その３!AE42+その３!AU42+その３!BJ42+その３!CB42+その３!CQ42+その３!DG42</f>
        <v>0</v>
      </c>
      <c r="Q42" s="252"/>
      <c r="R42" s="208"/>
      <c r="S42" s="254">
        <f>AB42+AE42</f>
        <v>81.3</v>
      </c>
      <c r="T42" s="209"/>
      <c r="U42" s="212"/>
      <c r="V42" s="209">
        <v>81.3</v>
      </c>
      <c r="W42" s="209"/>
      <c r="X42" s="212"/>
      <c r="Y42" s="209"/>
      <c r="Z42" s="209"/>
      <c r="AA42" s="212"/>
      <c r="AB42" s="254">
        <f t="shared" si="7"/>
        <v>81.3</v>
      </c>
      <c r="AC42" s="209"/>
      <c r="AD42" s="212"/>
      <c r="AE42" s="209"/>
      <c r="AF42" s="211"/>
      <c r="AG42" s="209"/>
      <c r="AH42" s="208"/>
      <c r="AI42" s="254">
        <f>AR42+AU42</f>
        <v>1888.4128</v>
      </c>
      <c r="AJ42" s="209"/>
      <c r="AK42" s="212"/>
      <c r="AL42" s="209">
        <v>1867.6773</v>
      </c>
      <c r="AM42" s="209"/>
      <c r="AN42" s="212"/>
      <c r="AO42" s="209">
        <f>20.7355</f>
        <v>20.7355</v>
      </c>
      <c r="AP42" s="209"/>
      <c r="AQ42" s="212"/>
      <c r="AR42" s="254">
        <f t="shared" si="5"/>
        <v>1888.4128</v>
      </c>
      <c r="AS42" s="209"/>
      <c r="AT42" s="212"/>
      <c r="AU42" s="209"/>
      <c r="AV42" s="211"/>
      <c r="AW42" s="208"/>
      <c r="AX42" s="254">
        <f>BG42+BJ42</f>
        <v>0</v>
      </c>
      <c r="AY42" s="209"/>
      <c r="AZ42" s="212"/>
      <c r="BA42" s="209"/>
      <c r="BB42" s="209"/>
      <c r="BC42" s="212"/>
      <c r="BD42" s="209"/>
      <c r="BE42" s="209"/>
      <c r="BF42" s="212"/>
      <c r="BG42" s="254">
        <f t="shared" si="3"/>
        <v>0</v>
      </c>
      <c r="BH42" s="209"/>
      <c r="BI42" s="212"/>
      <c r="BJ42" s="209"/>
      <c r="BK42" s="209"/>
      <c r="BL42" s="571"/>
      <c r="BM42" s="199"/>
    </row>
    <row r="43" spans="1:65" s="197" customFormat="1" ht="15.75" customHeight="1">
      <c r="A43" s="579">
        <f>A41+1</f>
        <v>11</v>
      </c>
      <c r="B43" s="578" t="s">
        <v>160</v>
      </c>
      <c r="C43" s="273" t="s">
        <v>145</v>
      </c>
      <c r="D43" s="209">
        <f t="shared" si="1"/>
        <v>1853.5429</v>
      </c>
      <c r="E43" s="258" t="s">
        <v>146</v>
      </c>
      <c r="F43" s="259" t="s">
        <v>145</v>
      </c>
      <c r="G43" s="209">
        <f>V43+AL43+BA43+その３!G43+その３!V43+その３!AL43+その３!BA43+その３!BS43+その３!CH43+その３!CX43</f>
        <v>1851.5429</v>
      </c>
      <c r="H43" s="429" t="s">
        <v>146</v>
      </c>
      <c r="I43" s="258" t="s">
        <v>145</v>
      </c>
      <c r="J43" s="209">
        <f>Y43+AO43+BD43+その３!J43+その３!Y43+その３!AO43+その３!BD43+その３!BV43+その３!CK43+その３!DA43</f>
        <v>2</v>
      </c>
      <c r="K43" s="258" t="s">
        <v>146</v>
      </c>
      <c r="L43" s="259" t="s">
        <v>145</v>
      </c>
      <c r="M43" s="209">
        <f t="shared" si="6"/>
        <v>1853.5429</v>
      </c>
      <c r="N43" s="258" t="s">
        <v>146</v>
      </c>
      <c r="O43" s="430" t="s">
        <v>145</v>
      </c>
      <c r="P43" s="209">
        <f>AE43+AU43+BJ43+その３!P43+その３!AE43+その３!AU43+その３!BJ43+その３!CB43+その３!CQ43+その３!DG43</f>
        <v>0</v>
      </c>
      <c r="Q43" s="260" t="s">
        <v>146</v>
      </c>
      <c r="R43" s="261"/>
      <c r="S43" s="209"/>
      <c r="T43" s="258"/>
      <c r="U43" s="259"/>
      <c r="V43" s="258"/>
      <c r="W43" s="258"/>
      <c r="X43" s="259"/>
      <c r="Y43" s="258"/>
      <c r="Z43" s="258"/>
      <c r="AA43" s="259"/>
      <c r="AB43" s="209">
        <f t="shared" si="7"/>
        <v>0</v>
      </c>
      <c r="AC43" s="258"/>
      <c r="AD43" s="259"/>
      <c r="AE43" s="258"/>
      <c r="AF43" s="262"/>
      <c r="AG43" s="209"/>
      <c r="AH43" s="261" t="s">
        <v>145</v>
      </c>
      <c r="AI43" s="209"/>
      <c r="AJ43" s="258" t="s">
        <v>146</v>
      </c>
      <c r="AK43" s="259" t="s">
        <v>145</v>
      </c>
      <c r="AL43" s="258"/>
      <c r="AM43" s="258" t="s">
        <v>146</v>
      </c>
      <c r="AN43" s="259" t="s">
        <v>145</v>
      </c>
      <c r="AO43" s="258">
        <v>2</v>
      </c>
      <c r="AP43" s="258" t="s">
        <v>146</v>
      </c>
      <c r="AQ43" s="259" t="s">
        <v>145</v>
      </c>
      <c r="AR43" s="209">
        <f t="shared" si="5"/>
        <v>2</v>
      </c>
      <c r="AS43" s="258" t="s">
        <v>146</v>
      </c>
      <c r="AT43" s="259" t="s">
        <v>145</v>
      </c>
      <c r="AU43" s="258"/>
      <c r="AV43" s="262" t="s">
        <v>146</v>
      </c>
      <c r="AW43" s="261" t="s">
        <v>145</v>
      </c>
      <c r="AX43" s="209"/>
      <c r="AY43" s="258" t="s">
        <v>146</v>
      </c>
      <c r="AZ43" s="259" t="s">
        <v>145</v>
      </c>
      <c r="BA43" s="258"/>
      <c r="BB43" s="258" t="s">
        <v>146</v>
      </c>
      <c r="BC43" s="259" t="s">
        <v>145</v>
      </c>
      <c r="BD43" s="258"/>
      <c r="BE43" s="258" t="s">
        <v>146</v>
      </c>
      <c r="BF43" s="259" t="s">
        <v>145</v>
      </c>
      <c r="BG43" s="209">
        <f t="shared" si="3"/>
        <v>0</v>
      </c>
      <c r="BH43" s="258" t="s">
        <v>146</v>
      </c>
      <c r="BI43" s="259" t="s">
        <v>145</v>
      </c>
      <c r="BJ43" s="258"/>
      <c r="BK43" s="258" t="s">
        <v>146</v>
      </c>
      <c r="BL43" s="584">
        <f>BL41+1</f>
        <v>11</v>
      </c>
      <c r="BM43" s="199"/>
    </row>
    <row r="44" spans="1:65" s="197" customFormat="1" ht="15.75" customHeight="1">
      <c r="A44" s="580"/>
      <c r="B44" s="611"/>
      <c r="C44" s="274"/>
      <c r="D44" s="254">
        <f t="shared" si="1"/>
        <v>10390.039</v>
      </c>
      <c r="E44" s="254"/>
      <c r="F44" s="255"/>
      <c r="G44" s="254">
        <f>V44+AL44+BA44+その３!G44+その３!V44+その３!AL44+その３!BA44+その３!BS44+その３!CH44+その３!CX44</f>
        <v>10236.8142</v>
      </c>
      <c r="H44" s="428"/>
      <c r="I44" s="254"/>
      <c r="J44" s="254">
        <f>Y44+AO44+BD44+その３!J44+その３!Y44+その３!AO44+その３!BD44+その３!BV44+その３!CK44+その３!DA44</f>
        <v>76.8165</v>
      </c>
      <c r="K44" s="254"/>
      <c r="L44" s="255"/>
      <c r="M44" s="254">
        <f t="shared" si="6"/>
        <v>10313.630700000002</v>
      </c>
      <c r="N44" s="254"/>
      <c r="O44" s="431"/>
      <c r="P44" s="254">
        <f>AE44+AU44+BJ44+その３!P44+その３!AE44+その３!AU44+その３!BJ44+その３!CB44+その３!CQ44+その３!DG44</f>
        <v>76.4083</v>
      </c>
      <c r="Q44" s="263"/>
      <c r="R44" s="264"/>
      <c r="S44" s="254">
        <f>AB44+AE44</f>
        <v>9324.5947</v>
      </c>
      <c r="T44" s="254"/>
      <c r="U44" s="255"/>
      <c r="V44" s="254">
        <v>9307.2173</v>
      </c>
      <c r="W44" s="254"/>
      <c r="X44" s="255"/>
      <c r="Y44" s="256">
        <f>17.3774</f>
        <v>17.3774</v>
      </c>
      <c r="Z44" s="254"/>
      <c r="AA44" s="255"/>
      <c r="AB44" s="254">
        <f t="shared" si="7"/>
        <v>9324.5947</v>
      </c>
      <c r="AC44" s="254"/>
      <c r="AD44" s="255"/>
      <c r="AE44" s="254"/>
      <c r="AF44" s="265"/>
      <c r="AG44" s="209"/>
      <c r="AH44" s="264"/>
      <c r="AI44" s="254">
        <f>AR44+AU44</f>
        <v>945.1164000000001</v>
      </c>
      <c r="AJ44" s="254"/>
      <c r="AK44" s="255"/>
      <c r="AL44" s="254">
        <v>817.9248</v>
      </c>
      <c r="AM44" s="254"/>
      <c r="AN44" s="255"/>
      <c r="AO44" s="254">
        <f>59.4391</f>
        <v>59.4391</v>
      </c>
      <c r="AP44" s="254"/>
      <c r="AQ44" s="255"/>
      <c r="AR44" s="254">
        <f t="shared" si="5"/>
        <v>877.3639000000001</v>
      </c>
      <c r="AS44" s="254"/>
      <c r="AT44" s="255"/>
      <c r="AU44" s="254">
        <v>67.7525</v>
      </c>
      <c r="AV44" s="265"/>
      <c r="AW44" s="264"/>
      <c r="AX44" s="254">
        <f>BG44+BJ44</f>
        <v>116.1879</v>
      </c>
      <c r="AY44" s="254"/>
      <c r="AZ44" s="255"/>
      <c r="BA44" s="254">
        <v>107.5321</v>
      </c>
      <c r="BB44" s="254"/>
      <c r="BC44" s="255"/>
      <c r="BD44" s="711"/>
      <c r="BE44" s="254"/>
      <c r="BF44" s="255"/>
      <c r="BG44" s="254">
        <f t="shared" si="3"/>
        <v>107.5321</v>
      </c>
      <c r="BH44" s="254"/>
      <c r="BI44" s="255"/>
      <c r="BJ44" s="710">
        <v>8.6558</v>
      </c>
      <c r="BK44" s="254"/>
      <c r="BL44" s="571"/>
      <c r="BM44" s="199"/>
    </row>
    <row r="45" spans="1:65" s="197" customFormat="1" ht="15.75" customHeight="1">
      <c r="A45" s="579">
        <v>12</v>
      </c>
      <c r="B45" s="574" t="s">
        <v>161</v>
      </c>
      <c r="C45" s="272" t="s">
        <v>145</v>
      </c>
      <c r="D45" s="209">
        <f t="shared" si="1"/>
        <v>20.8569</v>
      </c>
      <c r="E45" s="209" t="s">
        <v>146</v>
      </c>
      <c r="F45" s="212" t="s">
        <v>145</v>
      </c>
      <c r="G45" s="209">
        <f>V45+AL45+BA45+その３!G45+その３!V45+その３!AL45+その３!BA45+その３!BS45+その３!CH45+その３!CX45</f>
        <v>0</v>
      </c>
      <c r="H45" s="423" t="s">
        <v>146</v>
      </c>
      <c r="I45" s="209" t="s">
        <v>145</v>
      </c>
      <c r="J45" s="209">
        <f>Y45+AO45+BD45+その３!J45+その３!Y45+その３!AO45+その３!BD45+その３!BV45+その３!CK45+その３!DA45</f>
        <v>0</v>
      </c>
      <c r="K45" s="209" t="s">
        <v>146</v>
      </c>
      <c r="L45" s="212" t="s">
        <v>145</v>
      </c>
      <c r="M45" s="209">
        <f t="shared" si="6"/>
        <v>0</v>
      </c>
      <c r="N45" s="209" t="s">
        <v>146</v>
      </c>
      <c r="O45" s="427" t="s">
        <v>145</v>
      </c>
      <c r="P45" s="209">
        <f>AE45+AU45+BJ45+その３!P45+その３!AE45+その３!AU45+その３!BJ45+その３!CB45+その３!CQ45+その３!DG45</f>
        <v>20.8569</v>
      </c>
      <c r="Q45" s="252" t="s">
        <v>146</v>
      </c>
      <c r="R45" s="208"/>
      <c r="S45" s="209"/>
      <c r="T45" s="209"/>
      <c r="U45" s="212"/>
      <c r="V45" s="209"/>
      <c r="W45" s="209"/>
      <c r="X45" s="212"/>
      <c r="Y45" s="209"/>
      <c r="Z45" s="209"/>
      <c r="AA45" s="212"/>
      <c r="AB45" s="209">
        <f t="shared" si="7"/>
        <v>0</v>
      </c>
      <c r="AC45" s="209"/>
      <c r="AD45" s="212"/>
      <c r="AE45" s="209"/>
      <c r="AF45" s="211"/>
      <c r="AG45" s="209"/>
      <c r="AH45" s="208" t="s">
        <v>145</v>
      </c>
      <c r="AI45" s="209"/>
      <c r="AJ45" s="209" t="s">
        <v>146</v>
      </c>
      <c r="AK45" s="212" t="s">
        <v>145</v>
      </c>
      <c r="AL45" s="209"/>
      <c r="AM45" s="209" t="s">
        <v>146</v>
      </c>
      <c r="AN45" s="212" t="s">
        <v>145</v>
      </c>
      <c r="AO45" s="209"/>
      <c r="AP45" s="209" t="s">
        <v>146</v>
      </c>
      <c r="AQ45" s="212" t="s">
        <v>145</v>
      </c>
      <c r="AR45" s="209">
        <f t="shared" si="5"/>
        <v>0</v>
      </c>
      <c r="AS45" s="209" t="s">
        <v>146</v>
      </c>
      <c r="AT45" s="212" t="s">
        <v>145</v>
      </c>
      <c r="AU45" s="209"/>
      <c r="AV45" s="211" t="s">
        <v>146</v>
      </c>
      <c r="AW45" s="208" t="s">
        <v>145</v>
      </c>
      <c r="AX45" s="209"/>
      <c r="AY45" s="209" t="s">
        <v>146</v>
      </c>
      <c r="AZ45" s="212" t="s">
        <v>145</v>
      </c>
      <c r="BA45" s="209"/>
      <c r="BB45" s="209" t="s">
        <v>146</v>
      </c>
      <c r="BC45" s="212" t="s">
        <v>145</v>
      </c>
      <c r="BD45" s="209"/>
      <c r="BE45" s="209" t="s">
        <v>146</v>
      </c>
      <c r="BF45" s="212" t="s">
        <v>145</v>
      </c>
      <c r="BG45" s="209">
        <f t="shared" si="3"/>
        <v>0</v>
      </c>
      <c r="BH45" s="209" t="s">
        <v>146</v>
      </c>
      <c r="BI45" s="212" t="s">
        <v>145</v>
      </c>
      <c r="BJ45" s="209"/>
      <c r="BK45" s="209" t="s">
        <v>146</v>
      </c>
      <c r="BL45" s="584">
        <f>BL43+1</f>
        <v>12</v>
      </c>
      <c r="BM45" s="199"/>
    </row>
    <row r="46" spans="1:65" s="197" customFormat="1" ht="15.75" customHeight="1" thickBot="1">
      <c r="A46" s="580"/>
      <c r="B46" s="574"/>
      <c r="C46" s="272"/>
      <c r="D46" s="254">
        <f t="shared" si="1"/>
        <v>1678.5278</v>
      </c>
      <c r="E46" s="209"/>
      <c r="F46" s="212"/>
      <c r="G46" s="209">
        <f>V46+AL46+BA46+その３!G46+その３!V46+その３!AL46+その３!BA46+その３!BS46+その３!CH46+その３!CX46</f>
        <v>0</v>
      </c>
      <c r="H46" s="423"/>
      <c r="I46" s="209"/>
      <c r="J46" s="217">
        <f>Y46+AO46+BD46+その３!J46+その３!Y46+その３!AO46+その３!BD46+その３!BV46+その３!CK46+その３!DA46</f>
        <v>0.2674</v>
      </c>
      <c r="K46" s="209"/>
      <c r="L46" s="212"/>
      <c r="M46" s="209">
        <f t="shared" si="6"/>
        <v>0.2674</v>
      </c>
      <c r="N46" s="209"/>
      <c r="O46" s="427"/>
      <c r="P46" s="209">
        <f>AE46+AU46+BJ46+その３!P46+その３!AE46+その３!AU46+その３!BJ46+その３!CB46+その３!CQ46+その３!DG46</f>
        <v>1678.2604000000001</v>
      </c>
      <c r="Q46" s="252"/>
      <c r="R46" s="208"/>
      <c r="S46" s="254">
        <f aca="true" t="shared" si="8" ref="S46:S66">AB46+AE46</f>
        <v>1653.5196</v>
      </c>
      <c r="T46" s="209"/>
      <c r="U46" s="212"/>
      <c r="V46" s="209"/>
      <c r="W46" s="209"/>
      <c r="X46" s="212"/>
      <c r="Y46" s="209"/>
      <c r="Z46" s="209"/>
      <c r="AA46" s="212"/>
      <c r="AB46" s="209">
        <f t="shared" si="7"/>
        <v>0</v>
      </c>
      <c r="AC46" s="209"/>
      <c r="AD46" s="212"/>
      <c r="AE46" s="209">
        <v>1653.5196</v>
      </c>
      <c r="AF46" s="211"/>
      <c r="AG46" s="209"/>
      <c r="AH46" s="208"/>
      <c r="AI46" s="254">
        <f>AR46+AU46</f>
        <v>25.0082</v>
      </c>
      <c r="AJ46" s="209"/>
      <c r="AK46" s="212"/>
      <c r="AL46" s="209"/>
      <c r="AM46" s="209"/>
      <c r="AN46" s="212"/>
      <c r="AO46" s="256">
        <f>0.2674</f>
        <v>0.2674</v>
      </c>
      <c r="AP46" s="209"/>
      <c r="AQ46" s="212"/>
      <c r="AR46" s="209">
        <f t="shared" si="5"/>
        <v>0.2674</v>
      </c>
      <c r="AS46" s="209"/>
      <c r="AT46" s="212"/>
      <c r="AU46" s="209">
        <v>24.7408</v>
      </c>
      <c r="AV46" s="211"/>
      <c r="AW46" s="208"/>
      <c r="AX46" s="254">
        <f aca="true" t="shared" si="9" ref="AX46:AX66">BG46+BJ46</f>
        <v>0</v>
      </c>
      <c r="AY46" s="209"/>
      <c r="AZ46" s="212"/>
      <c r="BA46" s="209"/>
      <c r="BB46" s="209"/>
      <c r="BC46" s="212"/>
      <c r="BD46" s="209"/>
      <c r="BE46" s="209"/>
      <c r="BF46" s="212"/>
      <c r="BG46" s="217">
        <f t="shared" si="3"/>
        <v>0</v>
      </c>
      <c r="BH46" s="209"/>
      <c r="BI46" s="212"/>
      <c r="BJ46" s="209"/>
      <c r="BK46" s="209"/>
      <c r="BL46" s="585"/>
      <c r="BM46" s="199"/>
    </row>
    <row r="47" spans="1:64" s="228" customFormat="1" ht="15.75" customHeight="1">
      <c r="A47" s="569" t="s">
        <v>162</v>
      </c>
      <c r="B47" s="581"/>
      <c r="C47" s="227" t="s">
        <v>312</v>
      </c>
      <c r="D47" s="230">
        <f aca="true" t="shared" si="10" ref="D47:D66">M47+P47</f>
        <v>3791.128539</v>
      </c>
      <c r="E47" s="230" t="s">
        <v>313</v>
      </c>
      <c r="F47" s="232" t="s">
        <v>312</v>
      </c>
      <c r="G47" s="230">
        <f>G49+G59+その２!G9+その２!G15</f>
        <v>328.7587</v>
      </c>
      <c r="H47" s="231" t="s">
        <v>313</v>
      </c>
      <c r="I47" s="230" t="s">
        <v>312</v>
      </c>
      <c r="J47" s="230">
        <f>J49+J59+その２!J9+その２!J15</f>
        <v>0.423639</v>
      </c>
      <c r="K47" s="230" t="s">
        <v>313</v>
      </c>
      <c r="L47" s="232" t="s">
        <v>312</v>
      </c>
      <c r="M47" s="230">
        <f t="shared" si="6"/>
        <v>329.18233899999996</v>
      </c>
      <c r="N47" s="230" t="s">
        <v>313</v>
      </c>
      <c r="O47" s="233" t="s">
        <v>312</v>
      </c>
      <c r="P47" s="230">
        <f>P49+P59+その２!P9+その２!P15</f>
        <v>3461.9462</v>
      </c>
      <c r="Q47" s="426" t="s">
        <v>313</v>
      </c>
      <c r="R47" s="227"/>
      <c r="S47" s="230">
        <f t="shared" si="8"/>
        <v>0</v>
      </c>
      <c r="T47" s="230"/>
      <c r="U47" s="232"/>
      <c r="V47" s="230">
        <f>V49+V59+その２!V9+その２!V15</f>
        <v>0</v>
      </c>
      <c r="W47" s="231"/>
      <c r="X47" s="230"/>
      <c r="Y47" s="230">
        <f>Y49+Y59+その２!Y9+その２!Y15</f>
        <v>0</v>
      </c>
      <c r="Z47" s="230"/>
      <c r="AA47" s="232"/>
      <c r="AB47" s="230">
        <f t="shared" si="7"/>
        <v>0</v>
      </c>
      <c r="AC47" s="230"/>
      <c r="AD47" s="233"/>
      <c r="AE47" s="230">
        <f>AE49+AE59+その２!AE9+その２!AE15</f>
        <v>0</v>
      </c>
      <c r="AF47" s="234"/>
      <c r="AG47" s="224"/>
      <c r="AH47" s="227" t="s">
        <v>312</v>
      </c>
      <c r="AI47" s="230">
        <f>AR47+AU47</f>
        <v>0</v>
      </c>
      <c r="AJ47" s="230" t="s">
        <v>313</v>
      </c>
      <c r="AK47" s="232" t="s">
        <v>312</v>
      </c>
      <c r="AL47" s="230">
        <f>AL49+AL59+その２!AN9+その２!AN15</f>
        <v>0</v>
      </c>
      <c r="AM47" s="231" t="s">
        <v>313</v>
      </c>
      <c r="AN47" s="230" t="s">
        <v>312</v>
      </c>
      <c r="AO47" s="230">
        <f>AO49+AO59+その２!AQ9+その２!AQ15</f>
        <v>0</v>
      </c>
      <c r="AP47" s="230" t="s">
        <v>313</v>
      </c>
      <c r="AQ47" s="232" t="s">
        <v>312</v>
      </c>
      <c r="AR47" s="230">
        <f t="shared" si="5"/>
        <v>0</v>
      </c>
      <c r="AS47" s="230" t="s">
        <v>313</v>
      </c>
      <c r="AT47" s="233" t="s">
        <v>312</v>
      </c>
      <c r="AU47" s="230">
        <f>AU49+AU59+その２!AW9+その２!AW15</f>
        <v>0</v>
      </c>
      <c r="AV47" s="234" t="s">
        <v>313</v>
      </c>
      <c r="AW47" s="227" t="s">
        <v>312</v>
      </c>
      <c r="AX47" s="230">
        <f t="shared" si="9"/>
        <v>0</v>
      </c>
      <c r="AY47" s="230" t="s">
        <v>313</v>
      </c>
      <c r="AZ47" s="232" t="s">
        <v>312</v>
      </c>
      <c r="BA47" s="230">
        <f>BA49+BA59+その２!BC9+その２!BC15</f>
        <v>0</v>
      </c>
      <c r="BB47" s="231" t="s">
        <v>313</v>
      </c>
      <c r="BC47" s="230" t="s">
        <v>312</v>
      </c>
      <c r="BD47" s="230">
        <f>BD49+BD59+その２!BF9+その２!BF15</f>
        <v>0</v>
      </c>
      <c r="BE47" s="230" t="s">
        <v>313</v>
      </c>
      <c r="BF47" s="232" t="s">
        <v>312</v>
      </c>
      <c r="BG47" s="220">
        <f aca="true" t="shared" si="11" ref="BG47:BG66">BA47+BD47</f>
        <v>0</v>
      </c>
      <c r="BH47" s="230" t="s">
        <v>313</v>
      </c>
      <c r="BI47" s="233" t="s">
        <v>312</v>
      </c>
      <c r="BJ47" s="230">
        <f>BJ49+BJ59+その２!BL9+その２!BL15</f>
        <v>0</v>
      </c>
      <c r="BK47" s="426" t="s">
        <v>313</v>
      </c>
      <c r="BL47" s="235"/>
    </row>
    <row r="48" spans="1:64" s="228" customFormat="1" ht="15.75" customHeight="1" thickBot="1">
      <c r="A48" s="582"/>
      <c r="B48" s="583"/>
      <c r="C48" s="425"/>
      <c r="D48" s="237">
        <f t="shared" si="10"/>
        <v>28706.224427</v>
      </c>
      <c r="E48" s="237"/>
      <c r="F48" s="238"/>
      <c r="G48" s="237">
        <f>G50+G60+その２!G10+その２!G16</f>
        <v>6792.9249</v>
      </c>
      <c r="H48" s="222"/>
      <c r="I48" s="220"/>
      <c r="J48" s="237">
        <f>J50+J60+その２!J10+その２!J16</f>
        <v>57.065227</v>
      </c>
      <c r="K48" s="220"/>
      <c r="L48" s="221"/>
      <c r="M48" s="237">
        <f t="shared" si="6"/>
        <v>6849.990127</v>
      </c>
      <c r="N48" s="237"/>
      <c r="O48" s="240"/>
      <c r="P48" s="237">
        <f>P50+P60+その２!P10+その２!P16</f>
        <v>21856.2343</v>
      </c>
      <c r="Q48" s="241"/>
      <c r="R48" s="275"/>
      <c r="S48" s="237">
        <f t="shared" si="8"/>
        <v>15772.98335</v>
      </c>
      <c r="T48" s="241"/>
      <c r="U48" s="221"/>
      <c r="V48" s="237">
        <f>V50+V60+その２!V10+その２!V13</f>
        <v>3484.3733</v>
      </c>
      <c r="W48" s="222"/>
      <c r="X48" s="220"/>
      <c r="Y48" s="237">
        <f>Y50+Y60+その２!Y10+その２!Y13</f>
        <v>7.652950000000001</v>
      </c>
      <c r="Z48" s="220"/>
      <c r="AA48" s="221"/>
      <c r="AB48" s="237">
        <f t="shared" si="7"/>
        <v>3492.0262500000003</v>
      </c>
      <c r="AC48" s="220"/>
      <c r="AD48" s="223"/>
      <c r="AE48" s="237">
        <f>AE50+AE60+その２!AE10+その２!AE16</f>
        <v>12280.9571</v>
      </c>
      <c r="AF48" s="242"/>
      <c r="AG48" s="224"/>
      <c r="AH48" s="225"/>
      <c r="AI48" s="237">
        <f>AR48+AU48</f>
        <v>10754.594503</v>
      </c>
      <c r="AJ48" s="220"/>
      <c r="AK48" s="221"/>
      <c r="AL48" s="237">
        <f>AL50+AL60+その２!AN10+その２!AN13</f>
        <v>3120.1293</v>
      </c>
      <c r="AM48" s="222"/>
      <c r="AN48" s="220"/>
      <c r="AO48" s="237">
        <f>AO50+AO60+その２!AQ10+その２!AQ13</f>
        <v>39.821003</v>
      </c>
      <c r="AP48" s="220"/>
      <c r="AQ48" s="221"/>
      <c r="AR48" s="237">
        <f t="shared" si="5"/>
        <v>3159.950303</v>
      </c>
      <c r="AS48" s="220"/>
      <c r="AT48" s="223"/>
      <c r="AU48" s="237">
        <f>AU50+AU60+その２!AW10+その２!AW16</f>
        <v>7594.6442</v>
      </c>
      <c r="AV48" s="242"/>
      <c r="AW48" s="225"/>
      <c r="AX48" s="237">
        <f t="shared" si="9"/>
        <v>102.2928</v>
      </c>
      <c r="AY48" s="220"/>
      <c r="AZ48" s="221"/>
      <c r="BA48" s="237">
        <f>BA50+BA60+その２!BC10+その２!BC16</f>
        <v>61.706</v>
      </c>
      <c r="BB48" s="222"/>
      <c r="BC48" s="220"/>
      <c r="BD48" s="237">
        <f>BD50+BD60+その２!BF10+その２!BF16</f>
        <v>0.019</v>
      </c>
      <c r="BE48" s="220"/>
      <c r="BF48" s="221"/>
      <c r="BG48" s="237">
        <f t="shared" si="11"/>
        <v>61.725</v>
      </c>
      <c r="BH48" s="220"/>
      <c r="BI48" s="223"/>
      <c r="BJ48" s="237">
        <f>BJ50+BJ60+その２!BL10+その２!BL16</f>
        <v>40.567800000000005</v>
      </c>
      <c r="BK48" s="224"/>
      <c r="BL48" s="243"/>
    </row>
    <row r="49" spans="1:64" s="228" customFormat="1" ht="15.75" customHeight="1">
      <c r="A49" s="569"/>
      <c r="B49" s="568" t="s">
        <v>288</v>
      </c>
      <c r="C49" s="276" t="s">
        <v>145</v>
      </c>
      <c r="D49" s="220">
        <f t="shared" si="10"/>
        <v>1466.5076</v>
      </c>
      <c r="E49" s="220" t="s">
        <v>146</v>
      </c>
      <c r="F49" s="232" t="s">
        <v>145</v>
      </c>
      <c r="G49" s="220">
        <f>G51+G53+G55+G57</f>
        <v>94.4505</v>
      </c>
      <c r="H49" s="231" t="s">
        <v>146</v>
      </c>
      <c r="I49" s="230" t="s">
        <v>145</v>
      </c>
      <c r="J49" s="220">
        <f>J51+J53+J55+J57</f>
        <v>0.087</v>
      </c>
      <c r="K49" s="230" t="s">
        <v>146</v>
      </c>
      <c r="L49" s="232" t="s">
        <v>145</v>
      </c>
      <c r="M49" s="220">
        <f t="shared" si="6"/>
        <v>94.53750000000001</v>
      </c>
      <c r="N49" s="220" t="s">
        <v>146</v>
      </c>
      <c r="O49" s="223" t="s">
        <v>145</v>
      </c>
      <c r="P49" s="220">
        <f>P51+P53+P55+P57</f>
        <v>1371.9701</v>
      </c>
      <c r="Q49" s="224" t="s">
        <v>146</v>
      </c>
      <c r="R49" s="277"/>
      <c r="S49" s="220">
        <f t="shared" si="8"/>
        <v>0</v>
      </c>
      <c r="T49" s="230"/>
      <c r="U49" s="232"/>
      <c r="V49" s="220">
        <f>V51+V53+V55+V57</f>
        <v>0</v>
      </c>
      <c r="W49" s="231"/>
      <c r="X49" s="230"/>
      <c r="Y49" s="220">
        <f>Y51+Y53+Y55+Y57</f>
        <v>0</v>
      </c>
      <c r="Z49" s="230"/>
      <c r="AA49" s="232"/>
      <c r="AB49" s="220">
        <f t="shared" si="7"/>
        <v>0</v>
      </c>
      <c r="AC49" s="230"/>
      <c r="AD49" s="233"/>
      <c r="AE49" s="220">
        <f>AE51+AE53+AE55+AE57</f>
        <v>0</v>
      </c>
      <c r="AF49" s="234"/>
      <c r="AG49" s="224"/>
      <c r="AH49" s="229" t="s">
        <v>145</v>
      </c>
      <c r="AI49" s="220"/>
      <c r="AJ49" s="230" t="s">
        <v>146</v>
      </c>
      <c r="AK49" s="232" t="s">
        <v>145</v>
      </c>
      <c r="AL49" s="220">
        <f>AL51+AL53+AL55+AL57</f>
        <v>0</v>
      </c>
      <c r="AM49" s="231" t="s">
        <v>146</v>
      </c>
      <c r="AN49" s="230" t="s">
        <v>145</v>
      </c>
      <c r="AO49" s="220">
        <f>AO51+AO53+AO55+AO57</f>
        <v>0</v>
      </c>
      <c r="AP49" s="230" t="s">
        <v>146</v>
      </c>
      <c r="AQ49" s="232" t="s">
        <v>145</v>
      </c>
      <c r="AR49" s="220"/>
      <c r="AS49" s="230" t="s">
        <v>146</v>
      </c>
      <c r="AT49" s="233" t="s">
        <v>145</v>
      </c>
      <c r="AU49" s="220">
        <f>AU51+AU53+AU55+AU57</f>
        <v>0</v>
      </c>
      <c r="AV49" s="234" t="s">
        <v>146</v>
      </c>
      <c r="AW49" s="229" t="s">
        <v>145</v>
      </c>
      <c r="AX49" s="220">
        <f t="shared" si="9"/>
        <v>0</v>
      </c>
      <c r="AY49" s="230" t="s">
        <v>146</v>
      </c>
      <c r="AZ49" s="232" t="s">
        <v>145</v>
      </c>
      <c r="BA49" s="220">
        <f>BA51+BA53+BA55+BA57</f>
        <v>0</v>
      </c>
      <c r="BB49" s="231" t="s">
        <v>146</v>
      </c>
      <c r="BC49" s="230" t="s">
        <v>145</v>
      </c>
      <c r="BD49" s="220">
        <f>BD51+BD53+BD55+BD57</f>
        <v>0</v>
      </c>
      <c r="BE49" s="230" t="s">
        <v>146</v>
      </c>
      <c r="BF49" s="232" t="s">
        <v>145</v>
      </c>
      <c r="BG49" s="220">
        <f t="shared" si="11"/>
        <v>0</v>
      </c>
      <c r="BH49" s="230" t="s">
        <v>146</v>
      </c>
      <c r="BI49" s="233" t="s">
        <v>145</v>
      </c>
      <c r="BJ49" s="220">
        <f>BJ51+BJ53+BJ55+BJ57</f>
        <v>0</v>
      </c>
      <c r="BK49" s="426" t="s">
        <v>146</v>
      </c>
      <c r="BL49" s="235"/>
    </row>
    <row r="50" spans="1:64" s="228" customFormat="1" ht="15.75" customHeight="1" thickBot="1">
      <c r="A50" s="706"/>
      <c r="B50" s="707"/>
      <c r="C50" s="236"/>
      <c r="D50" s="237">
        <f t="shared" si="10"/>
        <v>5815.19868</v>
      </c>
      <c r="E50" s="237"/>
      <c r="F50" s="238"/>
      <c r="G50" s="237">
        <f>G52+G54+G56+G58</f>
        <v>941.1041</v>
      </c>
      <c r="H50" s="239"/>
      <c r="I50" s="237"/>
      <c r="J50" s="237">
        <f>J52+J54+J56+J58</f>
        <v>10.388380000000002</v>
      </c>
      <c r="K50" s="237"/>
      <c r="L50" s="238"/>
      <c r="M50" s="237">
        <f t="shared" si="6"/>
        <v>951.49248</v>
      </c>
      <c r="N50" s="239"/>
      <c r="O50" s="240"/>
      <c r="P50" s="237">
        <f>P52+P54+P56+P58</f>
        <v>4863.7062000000005</v>
      </c>
      <c r="Q50" s="241"/>
      <c r="R50" s="246"/>
      <c r="S50" s="237">
        <f t="shared" si="8"/>
        <v>3138.0609099999997</v>
      </c>
      <c r="T50" s="237"/>
      <c r="U50" s="238"/>
      <c r="V50" s="237">
        <f>V52+V54+V56+V58</f>
        <v>321.9223</v>
      </c>
      <c r="W50" s="239"/>
      <c r="X50" s="237"/>
      <c r="Y50" s="237">
        <f>Y52+Y54+Y56+Y58</f>
        <v>3.1315100000000005</v>
      </c>
      <c r="Z50" s="237"/>
      <c r="AA50" s="238"/>
      <c r="AB50" s="237">
        <f t="shared" si="7"/>
        <v>325.05381</v>
      </c>
      <c r="AC50" s="239"/>
      <c r="AD50" s="240"/>
      <c r="AE50" s="237">
        <f>AE52+AE54+AE56+AE58</f>
        <v>2813.0071</v>
      </c>
      <c r="AF50" s="247"/>
      <c r="AG50" s="224"/>
      <c r="AH50" s="246"/>
      <c r="AI50" s="237">
        <f aca="true" t="shared" si="12" ref="AI50:AI66">AR50+AU50</f>
        <v>994.0437989999998</v>
      </c>
      <c r="AJ50" s="237"/>
      <c r="AK50" s="238"/>
      <c r="AL50" s="237">
        <f>AL52+AL54+AL56+AL58</f>
        <v>524.7312999999999</v>
      </c>
      <c r="AM50" s="239"/>
      <c r="AN50" s="237"/>
      <c r="AO50" s="237">
        <f>AO52+AO54+AO56+AO58</f>
        <v>1.512399</v>
      </c>
      <c r="AP50" s="237"/>
      <c r="AQ50" s="238"/>
      <c r="AR50" s="237">
        <f aca="true" t="shared" si="13" ref="AR50:AR66">AL50+AO50</f>
        <v>526.2436989999999</v>
      </c>
      <c r="AS50" s="239"/>
      <c r="AT50" s="240"/>
      <c r="AU50" s="237">
        <f>AU52+AU54+AU56+AU58</f>
        <v>467.8001</v>
      </c>
      <c r="AV50" s="247"/>
      <c r="AW50" s="246"/>
      <c r="AX50" s="237">
        <f t="shared" si="9"/>
        <v>2</v>
      </c>
      <c r="AY50" s="237"/>
      <c r="AZ50" s="238"/>
      <c r="BA50" s="237">
        <f>BA52+BA54+BA56+BA58</f>
        <v>0</v>
      </c>
      <c r="BB50" s="239"/>
      <c r="BC50" s="237"/>
      <c r="BD50" s="237">
        <f>BD52+BD54+BD56+BD58</f>
        <v>0</v>
      </c>
      <c r="BE50" s="237"/>
      <c r="BF50" s="238"/>
      <c r="BG50" s="237">
        <f t="shared" si="11"/>
        <v>0</v>
      </c>
      <c r="BH50" s="239"/>
      <c r="BI50" s="240"/>
      <c r="BJ50" s="237">
        <f>BJ52+BJ54+BJ56+BJ58</f>
        <v>2</v>
      </c>
      <c r="BK50" s="241"/>
      <c r="BL50" s="278"/>
    </row>
    <row r="51" spans="1:65" s="197" customFormat="1" ht="15.75" customHeight="1">
      <c r="A51" s="612">
        <v>13</v>
      </c>
      <c r="B51" s="613" t="s">
        <v>163</v>
      </c>
      <c r="C51" s="272" t="s">
        <v>145</v>
      </c>
      <c r="D51" s="209">
        <f t="shared" si="10"/>
        <v>313.3579</v>
      </c>
      <c r="E51" s="209" t="s">
        <v>146</v>
      </c>
      <c r="F51" s="212" t="s">
        <v>145</v>
      </c>
      <c r="G51" s="209">
        <f>V51+AL51+BA51+その３!G51+その３!V51+その３!AL51+その３!BA51+その３!BS51+その３!CH51+その３!CX51</f>
        <v>0</v>
      </c>
      <c r="H51" s="423" t="s">
        <v>146</v>
      </c>
      <c r="I51" s="209" t="s">
        <v>145</v>
      </c>
      <c r="J51" s="209">
        <f>Y51+AO51+BD51+その３!J51+その３!Y51+その３!AO51+その３!BD51+その３!BV51+その３!CK51+その３!DA51</f>
        <v>0.087</v>
      </c>
      <c r="K51" s="209" t="s">
        <v>146</v>
      </c>
      <c r="L51" s="212" t="s">
        <v>145</v>
      </c>
      <c r="M51" s="209">
        <f t="shared" si="6"/>
        <v>0.087</v>
      </c>
      <c r="N51" s="209" t="s">
        <v>146</v>
      </c>
      <c r="O51" s="427" t="s">
        <v>145</v>
      </c>
      <c r="P51" s="209">
        <f>AE51+AU51+BJ51+その３!P51+その３!AE51+その３!AU51+その３!BJ51+その３!CB51+その３!CQ51+その３!DG51</f>
        <v>313.2709</v>
      </c>
      <c r="Q51" s="252" t="s">
        <v>146</v>
      </c>
      <c r="R51" s="208"/>
      <c r="S51" s="209">
        <f t="shared" si="8"/>
        <v>0</v>
      </c>
      <c r="T51" s="209"/>
      <c r="U51" s="212"/>
      <c r="V51" s="209"/>
      <c r="W51" s="209"/>
      <c r="X51" s="212"/>
      <c r="Y51" s="209"/>
      <c r="Z51" s="209"/>
      <c r="AA51" s="212"/>
      <c r="AB51" s="209">
        <f t="shared" si="7"/>
        <v>0</v>
      </c>
      <c r="AC51" s="209"/>
      <c r="AD51" s="212"/>
      <c r="AE51" s="209"/>
      <c r="AF51" s="211"/>
      <c r="AG51" s="209"/>
      <c r="AH51" s="208" t="s">
        <v>145</v>
      </c>
      <c r="AI51" s="209">
        <f t="shared" si="12"/>
        <v>0</v>
      </c>
      <c r="AJ51" s="209" t="s">
        <v>146</v>
      </c>
      <c r="AK51" s="212" t="s">
        <v>145</v>
      </c>
      <c r="AL51" s="209"/>
      <c r="AM51" s="209" t="s">
        <v>146</v>
      </c>
      <c r="AN51" s="212" t="s">
        <v>145</v>
      </c>
      <c r="AO51" s="209"/>
      <c r="AP51" s="209" t="s">
        <v>146</v>
      </c>
      <c r="AQ51" s="212" t="s">
        <v>145</v>
      </c>
      <c r="AR51" s="209">
        <f t="shared" si="13"/>
        <v>0</v>
      </c>
      <c r="AS51" s="209" t="s">
        <v>146</v>
      </c>
      <c r="AT51" s="212" t="s">
        <v>145</v>
      </c>
      <c r="AU51" s="209"/>
      <c r="AV51" s="211" t="s">
        <v>146</v>
      </c>
      <c r="AW51" s="208" t="s">
        <v>145</v>
      </c>
      <c r="AX51" s="209">
        <f t="shared" si="9"/>
        <v>0</v>
      </c>
      <c r="AY51" s="209" t="s">
        <v>146</v>
      </c>
      <c r="AZ51" s="212" t="s">
        <v>145</v>
      </c>
      <c r="BA51" s="209"/>
      <c r="BB51" s="209" t="s">
        <v>146</v>
      </c>
      <c r="BC51" s="212" t="s">
        <v>145</v>
      </c>
      <c r="BD51" s="209"/>
      <c r="BE51" s="209" t="s">
        <v>146</v>
      </c>
      <c r="BF51" s="212" t="s">
        <v>145</v>
      </c>
      <c r="BG51" s="209">
        <f t="shared" si="11"/>
        <v>0</v>
      </c>
      <c r="BH51" s="209" t="s">
        <v>146</v>
      </c>
      <c r="BI51" s="212" t="s">
        <v>145</v>
      </c>
      <c r="BJ51" s="209"/>
      <c r="BK51" s="209" t="s">
        <v>146</v>
      </c>
      <c r="BL51" s="570">
        <f>BL45+1</f>
        <v>13</v>
      </c>
      <c r="BM51" s="199"/>
    </row>
    <row r="52" spans="1:65" s="197" customFormat="1" ht="15.75" customHeight="1">
      <c r="A52" s="580"/>
      <c r="B52" s="611"/>
      <c r="C52" s="272"/>
      <c r="D52" s="254">
        <f t="shared" si="10"/>
        <v>2532.99627</v>
      </c>
      <c r="E52" s="209"/>
      <c r="F52" s="212"/>
      <c r="G52" s="254">
        <f>V52+AL52+BA52+その３!G52+その３!V52+その３!AL52+その３!BA52+その３!BS52+その３!CH52+その３!CX52</f>
        <v>472.5635</v>
      </c>
      <c r="H52" s="423"/>
      <c r="I52" s="209"/>
      <c r="J52" s="254">
        <f>Y52+AO52+BD52+その３!J52+その３!Y52+その３!AO52+その３!BD52+その３!BV52+その３!CK52+その３!DA52</f>
        <v>4.74257</v>
      </c>
      <c r="K52" s="209"/>
      <c r="L52" s="212"/>
      <c r="M52" s="254">
        <f t="shared" si="6"/>
        <v>477.30607</v>
      </c>
      <c r="N52" s="209"/>
      <c r="O52" s="427"/>
      <c r="P52" s="254">
        <f>AE52+AU52+BJ52+その３!P52+その３!AE52+その３!AU52+その３!BJ52+その３!CB52+その３!CQ52+その３!DG52</f>
        <v>2055.6902</v>
      </c>
      <c r="Q52" s="252"/>
      <c r="R52" s="208"/>
      <c r="S52" s="254">
        <f t="shared" si="8"/>
        <v>1381.7694999999999</v>
      </c>
      <c r="T52" s="209"/>
      <c r="U52" s="212"/>
      <c r="V52" s="209"/>
      <c r="W52" s="209"/>
      <c r="X52" s="212"/>
      <c r="Y52" s="256">
        <f>0.5988</f>
        <v>0.5988</v>
      </c>
      <c r="Z52" s="209"/>
      <c r="AA52" s="212"/>
      <c r="AB52" s="254">
        <f t="shared" si="7"/>
        <v>0.5988</v>
      </c>
      <c r="AC52" s="209"/>
      <c r="AD52" s="212"/>
      <c r="AE52" s="209">
        <v>1381.1707</v>
      </c>
      <c r="AF52" s="211"/>
      <c r="AG52" s="209"/>
      <c r="AH52" s="208"/>
      <c r="AI52" s="254">
        <f t="shared" si="12"/>
        <v>892.997399</v>
      </c>
      <c r="AJ52" s="209"/>
      <c r="AK52" s="212"/>
      <c r="AL52" s="209">
        <v>472.5635</v>
      </c>
      <c r="AM52" s="209"/>
      <c r="AN52" s="212"/>
      <c r="AO52" s="256">
        <f>0.062+1.450399</f>
        <v>1.512399</v>
      </c>
      <c r="AP52" s="209"/>
      <c r="AQ52" s="212"/>
      <c r="AR52" s="254">
        <f t="shared" si="13"/>
        <v>474.075899</v>
      </c>
      <c r="AS52" s="209"/>
      <c r="AT52" s="212"/>
      <c r="AU52" s="209">
        <v>418.9215</v>
      </c>
      <c r="AV52" s="211"/>
      <c r="AW52" s="208"/>
      <c r="AX52" s="254">
        <f t="shared" si="9"/>
        <v>2</v>
      </c>
      <c r="AY52" s="209"/>
      <c r="AZ52" s="212"/>
      <c r="BA52" s="209"/>
      <c r="BB52" s="209"/>
      <c r="BC52" s="212"/>
      <c r="BD52" s="209"/>
      <c r="BE52" s="209"/>
      <c r="BF52" s="212"/>
      <c r="BG52" s="254">
        <f t="shared" si="11"/>
        <v>0</v>
      </c>
      <c r="BH52" s="209"/>
      <c r="BI52" s="212"/>
      <c r="BJ52" s="209">
        <v>2</v>
      </c>
      <c r="BK52" s="209"/>
      <c r="BL52" s="571"/>
      <c r="BM52" s="199"/>
    </row>
    <row r="53" spans="1:65" s="197" customFormat="1" ht="15.75" customHeight="1">
      <c r="A53" s="610">
        <f>A51+1</f>
        <v>14</v>
      </c>
      <c r="B53" s="578" t="s">
        <v>164</v>
      </c>
      <c r="C53" s="273" t="s">
        <v>145</v>
      </c>
      <c r="D53" s="209">
        <f t="shared" si="10"/>
        <v>1143.0163</v>
      </c>
      <c r="E53" s="258" t="s">
        <v>146</v>
      </c>
      <c r="F53" s="259" t="s">
        <v>145</v>
      </c>
      <c r="G53" s="209">
        <f>V53+AL53+BA53+その３!G53+その３!V53+その３!AL53+その３!BA53+その３!BS53+その３!CH53+その３!CX53</f>
        <v>94.4505</v>
      </c>
      <c r="H53" s="429" t="s">
        <v>146</v>
      </c>
      <c r="I53" s="258" t="s">
        <v>145</v>
      </c>
      <c r="J53" s="209">
        <f>Y53+AO53+BD53+その３!J53+その３!Y53+その３!AO53+その３!BD53+その３!BV53+その３!CK53+その３!DA53</f>
        <v>0</v>
      </c>
      <c r="K53" s="258" t="s">
        <v>146</v>
      </c>
      <c r="L53" s="259" t="s">
        <v>145</v>
      </c>
      <c r="M53" s="209">
        <f t="shared" si="6"/>
        <v>94.4505</v>
      </c>
      <c r="N53" s="258" t="s">
        <v>146</v>
      </c>
      <c r="O53" s="430" t="s">
        <v>145</v>
      </c>
      <c r="P53" s="209">
        <f>AE53+AU53+BJ53+その３!P53+その３!AE53+その３!AU53+その３!BJ53+その３!CB53+その３!CQ53+その３!DG53</f>
        <v>1048.5658</v>
      </c>
      <c r="Q53" s="260" t="s">
        <v>146</v>
      </c>
      <c r="R53" s="261"/>
      <c r="S53" s="209">
        <f t="shared" si="8"/>
        <v>0</v>
      </c>
      <c r="T53" s="258"/>
      <c r="U53" s="259"/>
      <c r="V53" s="258"/>
      <c r="W53" s="258"/>
      <c r="X53" s="259"/>
      <c r="Y53" s="258"/>
      <c r="Z53" s="258"/>
      <c r="AA53" s="259"/>
      <c r="AB53" s="209">
        <f t="shared" si="7"/>
        <v>0</v>
      </c>
      <c r="AC53" s="258"/>
      <c r="AD53" s="259"/>
      <c r="AE53" s="258"/>
      <c r="AF53" s="262"/>
      <c r="AG53" s="209"/>
      <c r="AH53" s="261" t="s">
        <v>145</v>
      </c>
      <c r="AI53" s="209">
        <f t="shared" si="12"/>
        <v>0</v>
      </c>
      <c r="AJ53" s="258" t="s">
        <v>146</v>
      </c>
      <c r="AK53" s="259" t="s">
        <v>145</v>
      </c>
      <c r="AL53" s="258"/>
      <c r="AM53" s="258" t="s">
        <v>146</v>
      </c>
      <c r="AN53" s="259" t="s">
        <v>145</v>
      </c>
      <c r="AO53" s="258"/>
      <c r="AP53" s="258" t="s">
        <v>146</v>
      </c>
      <c r="AQ53" s="259" t="s">
        <v>145</v>
      </c>
      <c r="AR53" s="209">
        <f t="shared" si="13"/>
        <v>0</v>
      </c>
      <c r="AS53" s="258" t="s">
        <v>146</v>
      </c>
      <c r="AT53" s="259" t="s">
        <v>145</v>
      </c>
      <c r="AU53" s="258"/>
      <c r="AV53" s="262" t="s">
        <v>146</v>
      </c>
      <c r="AW53" s="261" t="s">
        <v>145</v>
      </c>
      <c r="AX53" s="209">
        <f t="shared" si="9"/>
        <v>0</v>
      </c>
      <c r="AY53" s="258" t="s">
        <v>146</v>
      </c>
      <c r="AZ53" s="259" t="s">
        <v>145</v>
      </c>
      <c r="BA53" s="258"/>
      <c r="BB53" s="258" t="s">
        <v>146</v>
      </c>
      <c r="BC53" s="259" t="s">
        <v>145</v>
      </c>
      <c r="BD53" s="258"/>
      <c r="BE53" s="258" t="s">
        <v>146</v>
      </c>
      <c r="BF53" s="259" t="s">
        <v>145</v>
      </c>
      <c r="BG53" s="209">
        <f t="shared" si="11"/>
        <v>0</v>
      </c>
      <c r="BH53" s="258" t="s">
        <v>146</v>
      </c>
      <c r="BI53" s="259" t="s">
        <v>145</v>
      </c>
      <c r="BJ53" s="258"/>
      <c r="BK53" s="258" t="s">
        <v>146</v>
      </c>
      <c r="BL53" s="584">
        <f>BL51+1</f>
        <v>14</v>
      </c>
      <c r="BM53" s="199"/>
    </row>
    <row r="54" spans="1:65" s="197" customFormat="1" ht="15.75" customHeight="1">
      <c r="A54" s="610"/>
      <c r="B54" s="611"/>
      <c r="C54" s="274"/>
      <c r="D54" s="254">
        <f t="shared" si="10"/>
        <v>3259.6668099999997</v>
      </c>
      <c r="E54" s="254"/>
      <c r="F54" s="255"/>
      <c r="G54" s="254">
        <f>V54+AL54+BA54+その３!G54+その３!V54+その３!AL54+その３!BA54+その３!BS54+その３!CH54+その３!CX54</f>
        <v>468.54060000000004</v>
      </c>
      <c r="H54" s="428"/>
      <c r="I54" s="254"/>
      <c r="J54" s="254">
        <f>Y54+AO54+BD54+その３!J54+その３!Y54+その３!AO54+その３!BD54+その３!BV54+その３!CK54+その３!DA54</f>
        <v>4.6917100000000005</v>
      </c>
      <c r="K54" s="254"/>
      <c r="L54" s="255"/>
      <c r="M54" s="254">
        <f t="shared" si="6"/>
        <v>473.23231000000004</v>
      </c>
      <c r="N54" s="254"/>
      <c r="O54" s="431"/>
      <c r="P54" s="254">
        <f>AE54+AU54+BJ54+その３!P54+その３!AE54+その３!AU54+その３!BJ54+その３!CB54+その３!CQ54+その３!DG54</f>
        <v>2786.4345</v>
      </c>
      <c r="Q54" s="263"/>
      <c r="R54" s="264"/>
      <c r="S54" s="254">
        <f t="shared" si="8"/>
        <v>1756.2914099999998</v>
      </c>
      <c r="T54" s="254"/>
      <c r="U54" s="255"/>
      <c r="V54" s="254">
        <v>321.9223</v>
      </c>
      <c r="W54" s="254"/>
      <c r="X54" s="255"/>
      <c r="Y54" s="256">
        <f>0.0436+2.48911</f>
        <v>2.5327100000000002</v>
      </c>
      <c r="Z54" s="254"/>
      <c r="AA54" s="255"/>
      <c r="AB54" s="254">
        <f t="shared" si="7"/>
        <v>324.45501</v>
      </c>
      <c r="AC54" s="254"/>
      <c r="AD54" s="255"/>
      <c r="AE54" s="254">
        <v>1431.8364</v>
      </c>
      <c r="AF54" s="265"/>
      <c r="AG54" s="209"/>
      <c r="AH54" s="264"/>
      <c r="AI54" s="254">
        <f t="shared" si="12"/>
        <v>101.0464</v>
      </c>
      <c r="AJ54" s="254"/>
      <c r="AK54" s="255"/>
      <c r="AL54" s="254">
        <v>52.1678</v>
      </c>
      <c r="AM54" s="254"/>
      <c r="AN54" s="255"/>
      <c r="AO54" s="254"/>
      <c r="AP54" s="254"/>
      <c r="AQ54" s="255"/>
      <c r="AR54" s="254">
        <f t="shared" si="13"/>
        <v>52.1678</v>
      </c>
      <c r="AS54" s="254"/>
      <c r="AT54" s="255"/>
      <c r="AU54" s="254">
        <v>48.8786</v>
      </c>
      <c r="AV54" s="265"/>
      <c r="AW54" s="264"/>
      <c r="AX54" s="254">
        <f t="shared" si="9"/>
        <v>0</v>
      </c>
      <c r="AY54" s="254"/>
      <c r="AZ54" s="255"/>
      <c r="BA54" s="254"/>
      <c r="BB54" s="254"/>
      <c r="BC54" s="255"/>
      <c r="BD54" s="254"/>
      <c r="BE54" s="254"/>
      <c r="BF54" s="255"/>
      <c r="BG54" s="254">
        <f t="shared" si="11"/>
        <v>0</v>
      </c>
      <c r="BH54" s="254"/>
      <c r="BI54" s="255"/>
      <c r="BJ54" s="254"/>
      <c r="BK54" s="254"/>
      <c r="BL54" s="571"/>
      <c r="BM54" s="199"/>
    </row>
    <row r="55" spans="1:64" s="199" customFormat="1" ht="15.75" customHeight="1">
      <c r="A55" s="579">
        <f>A53+1</f>
        <v>15</v>
      </c>
      <c r="B55" s="578" t="s">
        <v>165</v>
      </c>
      <c r="C55" s="273" t="s">
        <v>145</v>
      </c>
      <c r="D55" s="209">
        <f t="shared" si="10"/>
        <v>10.1334</v>
      </c>
      <c r="E55" s="258" t="s">
        <v>146</v>
      </c>
      <c r="F55" s="259" t="s">
        <v>145</v>
      </c>
      <c r="G55" s="209">
        <f>V55+AL55+BA55+その３!G55+その３!V55+その３!AL55+その３!BA55+その３!BS55+その３!CH55+その３!CX55</f>
        <v>0</v>
      </c>
      <c r="H55" s="429" t="s">
        <v>146</v>
      </c>
      <c r="I55" s="258" t="s">
        <v>145</v>
      </c>
      <c r="J55" s="209">
        <f>Y55+AO55+BD55+その３!J55+その３!Y55+その３!AO55+その３!BD55+その３!BV55+その３!CK55+その３!DA55</f>
        <v>0</v>
      </c>
      <c r="K55" s="258" t="s">
        <v>146</v>
      </c>
      <c r="L55" s="259" t="s">
        <v>145</v>
      </c>
      <c r="M55" s="209">
        <f t="shared" si="6"/>
        <v>0</v>
      </c>
      <c r="N55" s="258" t="s">
        <v>146</v>
      </c>
      <c r="O55" s="430" t="s">
        <v>145</v>
      </c>
      <c r="P55" s="209">
        <f>AE55+AU55+BJ55+その３!P55+その３!AE55+その３!AU55+その３!BJ55+その３!CB55+その３!CQ55+その３!DG55</f>
        <v>10.1334</v>
      </c>
      <c r="Q55" s="260" t="s">
        <v>146</v>
      </c>
      <c r="R55" s="261"/>
      <c r="S55" s="209">
        <f t="shared" si="8"/>
        <v>0</v>
      </c>
      <c r="T55" s="258"/>
      <c r="U55" s="259"/>
      <c r="V55" s="258"/>
      <c r="W55" s="258"/>
      <c r="X55" s="259"/>
      <c r="Y55" s="258"/>
      <c r="Z55" s="258"/>
      <c r="AA55" s="259"/>
      <c r="AB55" s="209">
        <f>V13+Y13</f>
        <v>0</v>
      </c>
      <c r="AC55" s="258"/>
      <c r="AD55" s="259"/>
      <c r="AE55" s="258"/>
      <c r="AF55" s="262"/>
      <c r="AG55" s="209"/>
      <c r="AH55" s="261" t="s">
        <v>316</v>
      </c>
      <c r="AI55" s="209">
        <f t="shared" si="12"/>
        <v>0</v>
      </c>
      <c r="AJ55" s="258" t="s">
        <v>146</v>
      </c>
      <c r="AK55" s="259" t="s">
        <v>145</v>
      </c>
      <c r="AL55" s="258"/>
      <c r="AM55" s="258" t="s">
        <v>146</v>
      </c>
      <c r="AN55" s="259" t="s">
        <v>145</v>
      </c>
      <c r="AO55" s="258"/>
      <c r="AP55" s="258" t="s">
        <v>146</v>
      </c>
      <c r="AQ55" s="259" t="s">
        <v>145</v>
      </c>
      <c r="AR55" s="209">
        <f t="shared" si="13"/>
        <v>0</v>
      </c>
      <c r="AS55" s="258" t="s">
        <v>146</v>
      </c>
      <c r="AT55" s="259" t="s">
        <v>145</v>
      </c>
      <c r="AU55" s="258"/>
      <c r="AV55" s="258" t="s">
        <v>146</v>
      </c>
      <c r="AW55" s="261" t="s">
        <v>145</v>
      </c>
      <c r="AX55" s="209">
        <f t="shared" si="9"/>
        <v>0</v>
      </c>
      <c r="AY55" s="258" t="s">
        <v>146</v>
      </c>
      <c r="AZ55" s="259" t="s">
        <v>145</v>
      </c>
      <c r="BA55" s="258"/>
      <c r="BB55" s="258" t="s">
        <v>146</v>
      </c>
      <c r="BC55" s="259" t="s">
        <v>145</v>
      </c>
      <c r="BD55" s="258"/>
      <c r="BE55" s="258" t="s">
        <v>146</v>
      </c>
      <c r="BF55" s="259" t="s">
        <v>145</v>
      </c>
      <c r="BG55" s="209">
        <f t="shared" si="11"/>
        <v>0</v>
      </c>
      <c r="BH55" s="258" t="s">
        <v>146</v>
      </c>
      <c r="BI55" s="259" t="s">
        <v>145</v>
      </c>
      <c r="BJ55" s="258"/>
      <c r="BK55" s="258" t="s">
        <v>146</v>
      </c>
      <c r="BL55" s="584">
        <f>BL53+1</f>
        <v>15</v>
      </c>
    </row>
    <row r="56" spans="1:64" s="199" customFormat="1" ht="15.75" customHeight="1">
      <c r="A56" s="580"/>
      <c r="B56" s="611"/>
      <c r="C56" s="274"/>
      <c r="D56" s="254">
        <f t="shared" si="10"/>
        <v>12.8104</v>
      </c>
      <c r="E56" s="254"/>
      <c r="F56" s="255"/>
      <c r="G56" s="254">
        <f>V56+AL56+BA56+その３!G56+その３!V56+その３!AL56+その３!BA56+その３!BS56+その３!CH56+その３!CX56</f>
        <v>0</v>
      </c>
      <c r="H56" s="428"/>
      <c r="I56" s="254"/>
      <c r="J56" s="254">
        <f>Y56+AO56+BD56+その３!J56+その３!Y56+その３!AO56+その３!BD56+その３!BV56+その３!CK56+その３!DA56</f>
        <v>0</v>
      </c>
      <c r="K56" s="254"/>
      <c r="L56" s="255"/>
      <c r="M56" s="254">
        <f t="shared" si="6"/>
        <v>0</v>
      </c>
      <c r="N56" s="254"/>
      <c r="O56" s="431"/>
      <c r="P56" s="254">
        <f>AE56+AU56+BJ56+その３!P56+その３!AE56+その３!AU56+その３!BJ56+その３!CB56+その３!CQ56+その３!DG56</f>
        <v>12.8104</v>
      </c>
      <c r="Q56" s="263"/>
      <c r="R56" s="264"/>
      <c r="S56" s="254">
        <f t="shared" si="8"/>
        <v>0</v>
      </c>
      <c r="T56" s="254"/>
      <c r="U56" s="255"/>
      <c r="V56" s="254"/>
      <c r="W56" s="254"/>
      <c r="X56" s="255"/>
      <c r="Y56" s="254"/>
      <c r="Z56" s="254"/>
      <c r="AA56" s="255"/>
      <c r="AB56" s="254"/>
      <c r="AC56" s="254"/>
      <c r="AD56" s="255"/>
      <c r="AE56" s="254"/>
      <c r="AF56" s="265"/>
      <c r="AG56" s="209"/>
      <c r="AH56" s="264"/>
      <c r="AI56" s="254">
        <f t="shared" si="12"/>
        <v>0</v>
      </c>
      <c r="AJ56" s="254"/>
      <c r="AK56" s="255"/>
      <c r="AL56" s="254"/>
      <c r="AM56" s="254"/>
      <c r="AN56" s="255"/>
      <c r="AO56" s="254"/>
      <c r="AP56" s="254"/>
      <c r="AQ56" s="255"/>
      <c r="AR56" s="254">
        <f t="shared" si="13"/>
        <v>0</v>
      </c>
      <c r="AS56" s="254"/>
      <c r="AT56" s="255"/>
      <c r="AU56" s="254"/>
      <c r="AV56" s="254"/>
      <c r="AW56" s="264"/>
      <c r="AX56" s="254">
        <f t="shared" si="9"/>
        <v>0</v>
      </c>
      <c r="AY56" s="254"/>
      <c r="AZ56" s="255"/>
      <c r="BA56" s="254"/>
      <c r="BB56" s="254"/>
      <c r="BC56" s="255"/>
      <c r="BD56" s="254"/>
      <c r="BE56" s="254"/>
      <c r="BF56" s="255"/>
      <c r="BG56" s="254">
        <f t="shared" si="11"/>
        <v>0</v>
      </c>
      <c r="BH56" s="254"/>
      <c r="BI56" s="255"/>
      <c r="BJ56" s="254"/>
      <c r="BK56" s="254"/>
      <c r="BL56" s="571"/>
    </row>
    <row r="57" spans="1:67" s="197" customFormat="1" ht="15.75" customHeight="1">
      <c r="A57" s="579">
        <f>A55+1</f>
        <v>16</v>
      </c>
      <c r="B57" s="578" t="s">
        <v>166</v>
      </c>
      <c r="C57" s="273" t="s">
        <v>145</v>
      </c>
      <c r="D57" s="258">
        <f t="shared" si="10"/>
        <v>0</v>
      </c>
      <c r="E57" s="258" t="s">
        <v>146</v>
      </c>
      <c r="F57" s="259" t="s">
        <v>145</v>
      </c>
      <c r="G57" s="209">
        <f>V57+AL57+BA57+その３!G57+その３!V57+その３!AL57+その３!BA57+その３!BS57+その３!CH57+その３!CX57</f>
        <v>0</v>
      </c>
      <c r="H57" s="429" t="s">
        <v>146</v>
      </c>
      <c r="I57" s="258" t="s">
        <v>145</v>
      </c>
      <c r="J57" s="209">
        <f>Y57+AO57+BD57+その３!J57+その３!Y57+その３!AO57+その３!BD57+その３!BV57+その３!CK57+その３!DA57</f>
        <v>0</v>
      </c>
      <c r="K57" s="258" t="s">
        <v>146</v>
      </c>
      <c r="L57" s="259" t="s">
        <v>145</v>
      </c>
      <c r="M57" s="209">
        <f t="shared" si="6"/>
        <v>0</v>
      </c>
      <c r="N57" s="258" t="s">
        <v>146</v>
      </c>
      <c r="O57" s="430" t="s">
        <v>145</v>
      </c>
      <c r="P57" s="209">
        <f>AE57+AU57+BJ57+その３!P57+その３!AE57+その３!AU57+その３!BJ57+その３!CB57+その３!CQ57+その３!DG57</f>
        <v>0</v>
      </c>
      <c r="Q57" s="260" t="s">
        <v>146</v>
      </c>
      <c r="R57" s="261"/>
      <c r="S57" s="209">
        <f t="shared" si="8"/>
        <v>0</v>
      </c>
      <c r="T57" s="258"/>
      <c r="U57" s="259"/>
      <c r="V57" s="258"/>
      <c r="W57" s="258"/>
      <c r="X57" s="259"/>
      <c r="Y57" s="258"/>
      <c r="Z57" s="258"/>
      <c r="AA57" s="259"/>
      <c r="AB57" s="258">
        <f aca="true" t="shared" si="14" ref="AB57:AB66">V57+Y57</f>
        <v>0</v>
      </c>
      <c r="AC57" s="258"/>
      <c r="AD57" s="259"/>
      <c r="AE57" s="258"/>
      <c r="AF57" s="262"/>
      <c r="AG57" s="209"/>
      <c r="AH57" s="261" t="s">
        <v>317</v>
      </c>
      <c r="AI57" s="258">
        <f t="shared" si="12"/>
        <v>0</v>
      </c>
      <c r="AJ57" s="258" t="s">
        <v>146</v>
      </c>
      <c r="AK57" s="259" t="s">
        <v>145</v>
      </c>
      <c r="AL57" s="258"/>
      <c r="AM57" s="258" t="s">
        <v>146</v>
      </c>
      <c r="AN57" s="259" t="s">
        <v>145</v>
      </c>
      <c r="AO57" s="258"/>
      <c r="AP57" s="258" t="s">
        <v>146</v>
      </c>
      <c r="AQ57" s="259" t="s">
        <v>145</v>
      </c>
      <c r="AR57" s="258">
        <f t="shared" si="13"/>
        <v>0</v>
      </c>
      <c r="AS57" s="258" t="s">
        <v>146</v>
      </c>
      <c r="AT57" s="259" t="s">
        <v>145</v>
      </c>
      <c r="AU57" s="258"/>
      <c r="AV57" s="258" t="s">
        <v>146</v>
      </c>
      <c r="AW57" s="261" t="s">
        <v>145</v>
      </c>
      <c r="AX57" s="258">
        <f t="shared" si="9"/>
        <v>0</v>
      </c>
      <c r="AY57" s="258" t="s">
        <v>146</v>
      </c>
      <c r="AZ57" s="259" t="s">
        <v>145</v>
      </c>
      <c r="BA57" s="258"/>
      <c r="BB57" s="258" t="s">
        <v>146</v>
      </c>
      <c r="BC57" s="259" t="s">
        <v>145</v>
      </c>
      <c r="BD57" s="258"/>
      <c r="BE57" s="258" t="s">
        <v>146</v>
      </c>
      <c r="BF57" s="259" t="s">
        <v>145</v>
      </c>
      <c r="BG57" s="258">
        <f t="shared" si="11"/>
        <v>0</v>
      </c>
      <c r="BH57" s="258" t="s">
        <v>146</v>
      </c>
      <c r="BI57" s="259" t="s">
        <v>145</v>
      </c>
      <c r="BJ57" s="258"/>
      <c r="BK57" s="258" t="s">
        <v>146</v>
      </c>
      <c r="BL57" s="584">
        <f>BL55+1</f>
        <v>16</v>
      </c>
      <c r="BO57" s="199"/>
    </row>
    <row r="58" spans="1:67" s="197" customFormat="1" ht="15.75" customHeight="1" thickBot="1">
      <c r="A58" s="572"/>
      <c r="B58" s="574"/>
      <c r="C58" s="269"/>
      <c r="D58" s="209">
        <f t="shared" si="10"/>
        <v>9.725200000000001</v>
      </c>
      <c r="E58" s="424"/>
      <c r="F58" s="218"/>
      <c r="G58" s="217">
        <f>V58+AL58+BA58+その３!G58+その３!V58+その３!AL58+その３!BA58+その３!BS58+その３!CH58+その３!CX58</f>
        <v>0</v>
      </c>
      <c r="H58" s="424"/>
      <c r="I58" s="217"/>
      <c r="J58" s="217">
        <f>Y58+AO58+BD58+その３!J58+その３!Y58+その３!AO58+その３!BD58+その３!BV58+その３!CK58+その３!DA58</f>
        <v>0.9541000000000001</v>
      </c>
      <c r="K58" s="217"/>
      <c r="L58" s="218"/>
      <c r="M58" s="217">
        <f t="shared" si="6"/>
        <v>0.9541000000000001</v>
      </c>
      <c r="N58" s="217"/>
      <c r="O58" s="432"/>
      <c r="P58" s="217">
        <f>AE58+AU58+BJ58+その３!P58+その３!AE58+その３!AU58+その３!BJ58+その３!CB58+その３!CQ58+その３!DG58</f>
        <v>8.7711</v>
      </c>
      <c r="Q58" s="466"/>
      <c r="R58" s="208"/>
      <c r="S58" s="209">
        <f t="shared" si="8"/>
        <v>0</v>
      </c>
      <c r="T58" s="209"/>
      <c r="U58" s="212"/>
      <c r="V58" s="209"/>
      <c r="W58" s="209"/>
      <c r="X58" s="212"/>
      <c r="Y58" s="209"/>
      <c r="Z58" s="209"/>
      <c r="AA58" s="212"/>
      <c r="AB58" s="209">
        <f t="shared" si="14"/>
        <v>0</v>
      </c>
      <c r="AC58" s="209"/>
      <c r="AD58" s="212"/>
      <c r="AE58" s="209"/>
      <c r="AF58" s="211"/>
      <c r="AG58" s="209"/>
      <c r="AH58" s="208"/>
      <c r="AI58" s="209">
        <f t="shared" si="12"/>
        <v>0</v>
      </c>
      <c r="AJ58" s="209"/>
      <c r="AK58" s="212"/>
      <c r="AL58" s="209"/>
      <c r="AM58" s="209"/>
      <c r="AN58" s="212"/>
      <c r="AO58" s="209"/>
      <c r="AP58" s="209"/>
      <c r="AQ58" s="212"/>
      <c r="AR58" s="209">
        <f t="shared" si="13"/>
        <v>0</v>
      </c>
      <c r="AS58" s="209"/>
      <c r="AT58" s="212"/>
      <c r="AU58" s="209"/>
      <c r="AV58" s="209"/>
      <c r="AW58" s="208"/>
      <c r="AX58" s="209">
        <f t="shared" si="9"/>
        <v>0</v>
      </c>
      <c r="AY58" s="209"/>
      <c r="AZ58" s="212"/>
      <c r="BA58" s="209"/>
      <c r="BB58" s="209"/>
      <c r="BC58" s="212"/>
      <c r="BD58" s="209"/>
      <c r="BE58" s="209"/>
      <c r="BF58" s="212"/>
      <c r="BG58" s="209">
        <f t="shared" si="11"/>
        <v>0</v>
      </c>
      <c r="BH58" s="209"/>
      <c r="BI58" s="212"/>
      <c r="BJ58" s="209"/>
      <c r="BK58" s="209"/>
      <c r="BL58" s="609"/>
      <c r="BO58" s="199"/>
    </row>
    <row r="59" spans="1:67" s="442" customFormat="1" ht="15.75" customHeight="1">
      <c r="A59" s="632"/>
      <c r="B59" s="568" t="s">
        <v>287</v>
      </c>
      <c r="C59" s="462" t="s">
        <v>145</v>
      </c>
      <c r="D59" s="457">
        <f t="shared" si="10"/>
        <v>982.536439</v>
      </c>
      <c r="E59" s="444" t="s">
        <v>146</v>
      </c>
      <c r="F59" s="464" t="s">
        <v>145</v>
      </c>
      <c r="G59" s="444">
        <f>G61+G63+G65</f>
        <v>102.0782</v>
      </c>
      <c r="H59" s="465" t="s">
        <v>146</v>
      </c>
      <c r="I59" s="462" t="s">
        <v>145</v>
      </c>
      <c r="J59" s="444">
        <f>J61+J63+J65</f>
        <v>0.070039</v>
      </c>
      <c r="K59" s="444" t="s">
        <v>146</v>
      </c>
      <c r="L59" s="464" t="s">
        <v>145</v>
      </c>
      <c r="M59" s="457">
        <f t="shared" si="6"/>
        <v>102.14823899999999</v>
      </c>
      <c r="N59" s="463" t="s">
        <v>146</v>
      </c>
      <c r="O59" s="462" t="s">
        <v>145</v>
      </c>
      <c r="P59" s="444">
        <f>P61+P63+P65</f>
        <v>880.3882</v>
      </c>
      <c r="Q59" s="461" t="s">
        <v>146</v>
      </c>
      <c r="R59" s="460"/>
      <c r="S59" s="457">
        <f t="shared" si="8"/>
        <v>0</v>
      </c>
      <c r="T59" s="457"/>
      <c r="U59" s="459"/>
      <c r="V59" s="457">
        <f>V61+V63+V65</f>
        <v>0</v>
      </c>
      <c r="W59" s="457"/>
      <c r="X59" s="459"/>
      <c r="Y59" s="457">
        <f>Y61+Y63+Y65</f>
        <v>0</v>
      </c>
      <c r="Z59" s="457"/>
      <c r="AA59" s="459"/>
      <c r="AB59" s="457">
        <f t="shared" si="14"/>
        <v>0</v>
      </c>
      <c r="AC59" s="457"/>
      <c r="AD59" s="459"/>
      <c r="AE59" s="457">
        <f>AE61+AE63+AE65</f>
        <v>0</v>
      </c>
      <c r="AF59" s="458"/>
      <c r="AG59" s="444"/>
      <c r="AH59" s="227" t="s">
        <v>318</v>
      </c>
      <c r="AI59" s="457">
        <f t="shared" si="12"/>
        <v>0</v>
      </c>
      <c r="AJ59" s="230" t="s">
        <v>319</v>
      </c>
      <c r="AK59" s="232" t="s">
        <v>318</v>
      </c>
      <c r="AL59" s="457">
        <f>AL61+AL63+AL65</f>
        <v>0</v>
      </c>
      <c r="AM59" s="231" t="s">
        <v>319</v>
      </c>
      <c r="AN59" s="230" t="s">
        <v>318</v>
      </c>
      <c r="AO59" s="457">
        <f>AO61+AO63+AO65</f>
        <v>0</v>
      </c>
      <c r="AP59" s="230" t="s">
        <v>319</v>
      </c>
      <c r="AQ59" s="232" t="s">
        <v>318</v>
      </c>
      <c r="AR59" s="457">
        <f t="shared" si="13"/>
        <v>0</v>
      </c>
      <c r="AS59" s="230" t="s">
        <v>319</v>
      </c>
      <c r="AT59" s="232" t="s">
        <v>318</v>
      </c>
      <c r="AU59" s="457">
        <f>AU61+AU63+AU65</f>
        <v>0</v>
      </c>
      <c r="AV59" s="234" t="s">
        <v>319</v>
      </c>
      <c r="AW59" s="227" t="s">
        <v>318</v>
      </c>
      <c r="AX59" s="457">
        <f t="shared" si="9"/>
        <v>0</v>
      </c>
      <c r="AY59" s="230" t="s">
        <v>319</v>
      </c>
      <c r="AZ59" s="232" t="s">
        <v>318</v>
      </c>
      <c r="BA59" s="457">
        <f>BA61+BA63+BA65</f>
        <v>0</v>
      </c>
      <c r="BB59" s="231" t="s">
        <v>319</v>
      </c>
      <c r="BC59" s="230" t="s">
        <v>318</v>
      </c>
      <c r="BD59" s="457">
        <f>BD61+BD63+BD65</f>
        <v>0</v>
      </c>
      <c r="BE59" s="230" t="s">
        <v>319</v>
      </c>
      <c r="BF59" s="232" t="s">
        <v>318</v>
      </c>
      <c r="BG59" s="457">
        <f t="shared" si="11"/>
        <v>0</v>
      </c>
      <c r="BH59" s="230" t="s">
        <v>319</v>
      </c>
      <c r="BI59" s="233" t="s">
        <v>318</v>
      </c>
      <c r="BJ59" s="457">
        <f>BJ61+BJ63+BJ65</f>
        <v>0</v>
      </c>
      <c r="BK59" s="426" t="s">
        <v>319</v>
      </c>
      <c r="BL59" s="456"/>
      <c r="BM59" s="444"/>
      <c r="BN59" s="443"/>
      <c r="BO59" s="200"/>
    </row>
    <row r="60" spans="1:67" s="442" customFormat="1" ht="15.75" customHeight="1" thickBot="1">
      <c r="A60" s="633"/>
      <c r="B60" s="631"/>
      <c r="C60" s="454"/>
      <c r="D60" s="446">
        <f t="shared" si="10"/>
        <v>5493.561646</v>
      </c>
      <c r="E60" s="446"/>
      <c r="F60" s="447"/>
      <c r="G60" s="446">
        <f>G62+G64+G66</f>
        <v>1191.2963</v>
      </c>
      <c r="H60" s="453"/>
      <c r="I60" s="446"/>
      <c r="J60" s="446">
        <f>J62+J64+J66</f>
        <v>8.751846</v>
      </c>
      <c r="K60" s="446"/>
      <c r="L60" s="447"/>
      <c r="M60" s="446">
        <f t="shared" si="6"/>
        <v>1200.048146</v>
      </c>
      <c r="N60" s="446"/>
      <c r="O60" s="452"/>
      <c r="P60" s="446">
        <f>P62+P64+P66</f>
        <v>4293.5135</v>
      </c>
      <c r="Q60" s="451"/>
      <c r="R60" s="449"/>
      <c r="S60" s="446">
        <f t="shared" si="8"/>
        <v>1281.59414</v>
      </c>
      <c r="T60" s="446"/>
      <c r="U60" s="447"/>
      <c r="V60" s="446">
        <f>V62+V64+V66</f>
        <v>208.821</v>
      </c>
      <c r="W60" s="446"/>
      <c r="X60" s="447"/>
      <c r="Y60" s="448">
        <f>Y62+Y64+Y66</f>
        <v>0.07254</v>
      </c>
      <c r="Z60" s="446"/>
      <c r="AA60" s="447"/>
      <c r="AB60" s="446">
        <f t="shared" si="14"/>
        <v>208.89354</v>
      </c>
      <c r="AC60" s="446"/>
      <c r="AD60" s="447"/>
      <c r="AE60" s="446">
        <f>AE62+AE64+AE66</f>
        <v>1072.7006</v>
      </c>
      <c r="AF60" s="450"/>
      <c r="AG60" s="444"/>
      <c r="AH60" s="449"/>
      <c r="AI60" s="446">
        <f t="shared" si="12"/>
        <v>4085.3458330000003</v>
      </c>
      <c r="AJ60" s="446"/>
      <c r="AK60" s="447"/>
      <c r="AL60" s="446">
        <f>AL62+AL64+AL66</f>
        <v>975.5039</v>
      </c>
      <c r="AM60" s="446"/>
      <c r="AN60" s="447"/>
      <c r="AO60" s="446">
        <f>AO62+AO64+AO66</f>
        <v>7.164332999999999</v>
      </c>
      <c r="AP60" s="446"/>
      <c r="AQ60" s="447"/>
      <c r="AR60" s="446">
        <f t="shared" si="13"/>
        <v>982.6682330000001</v>
      </c>
      <c r="AS60" s="446"/>
      <c r="AT60" s="447"/>
      <c r="AU60" s="446">
        <f>AU62+AU64+AU66</f>
        <v>3102.6776000000004</v>
      </c>
      <c r="AV60" s="446"/>
      <c r="AW60" s="449"/>
      <c r="AX60" s="446">
        <f t="shared" si="9"/>
        <v>13.318200000000001</v>
      </c>
      <c r="AY60" s="446"/>
      <c r="AZ60" s="447"/>
      <c r="BA60" s="446">
        <f>BA62+BA64+BA66</f>
        <v>1.0756</v>
      </c>
      <c r="BB60" s="446"/>
      <c r="BC60" s="447"/>
      <c r="BD60" s="448">
        <f>BD62+BD64+BD66</f>
        <v>0.019</v>
      </c>
      <c r="BE60" s="446"/>
      <c r="BF60" s="447"/>
      <c r="BG60" s="446">
        <f t="shared" si="11"/>
        <v>1.0945999999999998</v>
      </c>
      <c r="BH60" s="446"/>
      <c r="BI60" s="447"/>
      <c r="BJ60" s="446">
        <f>BJ62+BJ64+BJ66</f>
        <v>12.223600000000001</v>
      </c>
      <c r="BK60" s="446"/>
      <c r="BL60" s="445"/>
      <c r="BM60" s="444"/>
      <c r="BN60" s="443"/>
      <c r="BO60" s="200"/>
    </row>
    <row r="61" spans="1:65" s="197" customFormat="1" ht="15.75" customHeight="1">
      <c r="A61" s="580">
        <f>A57+1</f>
        <v>17</v>
      </c>
      <c r="B61" s="574" t="s">
        <v>167</v>
      </c>
      <c r="C61" s="272" t="s">
        <v>145</v>
      </c>
      <c r="D61" s="209">
        <f t="shared" si="10"/>
        <v>784.786639</v>
      </c>
      <c r="E61" s="209" t="s">
        <v>146</v>
      </c>
      <c r="F61" s="212" t="s">
        <v>145</v>
      </c>
      <c r="G61" s="209">
        <f>V61+AL61+BA61+その３!G61+その３!V61+その３!AL61+その３!BA61+その３!BS61+その３!CH61+その３!CX61</f>
        <v>102.0782</v>
      </c>
      <c r="H61" s="423" t="s">
        <v>146</v>
      </c>
      <c r="I61" s="209" t="s">
        <v>145</v>
      </c>
      <c r="J61" s="209">
        <f>Y61+AO61+BD61+その３!J61+その３!Y61+その３!AO61+その３!BD61+その３!BV61+その３!CK61+その３!DA61</f>
        <v>0.006939</v>
      </c>
      <c r="K61" s="209" t="s">
        <v>146</v>
      </c>
      <c r="L61" s="212" t="s">
        <v>145</v>
      </c>
      <c r="M61" s="209">
        <f t="shared" si="6"/>
        <v>102.085139</v>
      </c>
      <c r="N61" s="209" t="s">
        <v>146</v>
      </c>
      <c r="O61" s="427" t="s">
        <v>145</v>
      </c>
      <c r="P61" s="209">
        <f>AE61+AU61+BJ61+その３!P61+その３!AE61+その３!AU61+その３!BJ61+その３!CB61+その３!CQ61+その３!DG61</f>
        <v>682.7015</v>
      </c>
      <c r="Q61" s="252" t="s">
        <v>146</v>
      </c>
      <c r="R61" s="208"/>
      <c r="S61" s="209">
        <f t="shared" si="8"/>
        <v>0</v>
      </c>
      <c r="T61" s="209"/>
      <c r="U61" s="212"/>
      <c r="V61" s="209"/>
      <c r="W61" s="209"/>
      <c r="X61" s="212"/>
      <c r="Y61" s="209"/>
      <c r="Z61" s="209"/>
      <c r="AA61" s="212"/>
      <c r="AB61" s="209">
        <f t="shared" si="14"/>
        <v>0</v>
      </c>
      <c r="AC61" s="209"/>
      <c r="AD61" s="212"/>
      <c r="AE61" s="209"/>
      <c r="AF61" s="211"/>
      <c r="AG61" s="209"/>
      <c r="AH61" s="208" t="s">
        <v>145</v>
      </c>
      <c r="AI61" s="209">
        <f t="shared" si="12"/>
        <v>0</v>
      </c>
      <c r="AJ61" s="209" t="s">
        <v>146</v>
      </c>
      <c r="AK61" s="212" t="s">
        <v>145</v>
      </c>
      <c r="AL61" s="209"/>
      <c r="AM61" s="209" t="s">
        <v>146</v>
      </c>
      <c r="AN61" s="212" t="s">
        <v>145</v>
      </c>
      <c r="AO61" s="209"/>
      <c r="AP61" s="209" t="s">
        <v>146</v>
      </c>
      <c r="AQ61" s="212" t="s">
        <v>145</v>
      </c>
      <c r="AR61" s="209">
        <f t="shared" si="13"/>
        <v>0</v>
      </c>
      <c r="AS61" s="209" t="s">
        <v>146</v>
      </c>
      <c r="AT61" s="212" t="s">
        <v>145</v>
      </c>
      <c r="AU61" s="209"/>
      <c r="AV61" s="211" t="s">
        <v>146</v>
      </c>
      <c r="AW61" s="208" t="s">
        <v>145</v>
      </c>
      <c r="AX61" s="209">
        <f t="shared" si="9"/>
        <v>0</v>
      </c>
      <c r="AY61" s="209" t="s">
        <v>146</v>
      </c>
      <c r="AZ61" s="212" t="s">
        <v>145</v>
      </c>
      <c r="BA61" s="209"/>
      <c r="BB61" s="209" t="s">
        <v>146</v>
      </c>
      <c r="BC61" s="212" t="s">
        <v>145</v>
      </c>
      <c r="BD61" s="209"/>
      <c r="BE61" s="209" t="s">
        <v>146</v>
      </c>
      <c r="BF61" s="212" t="s">
        <v>145</v>
      </c>
      <c r="BG61" s="209">
        <f t="shared" si="11"/>
        <v>0</v>
      </c>
      <c r="BH61" s="209" t="s">
        <v>146</v>
      </c>
      <c r="BI61" s="212" t="s">
        <v>145</v>
      </c>
      <c r="BJ61" s="209"/>
      <c r="BK61" s="209" t="s">
        <v>146</v>
      </c>
      <c r="BL61" s="609">
        <f>BL57+1</f>
        <v>17</v>
      </c>
      <c r="BM61" s="199"/>
    </row>
    <row r="62" spans="1:65" s="197" customFormat="1" ht="15.75" customHeight="1">
      <c r="A62" s="610"/>
      <c r="B62" s="611"/>
      <c r="C62" s="274"/>
      <c r="D62" s="254">
        <f t="shared" si="10"/>
        <v>4971.529346</v>
      </c>
      <c r="E62" s="254"/>
      <c r="F62" s="255"/>
      <c r="G62" s="254">
        <f>V62+AL62+BA62+その３!G62+その３!V62+その３!AL62+その３!BA62+その３!BS62+その３!CH62+その３!CX62</f>
        <v>1191.2963</v>
      </c>
      <c r="H62" s="428"/>
      <c r="I62" s="254"/>
      <c r="J62" s="254">
        <f>Y62+AO62+BD62+その３!J62+その３!Y62+その３!AO62+その３!BD62+その３!BV62+その３!CK62+その３!DA62</f>
        <v>7.030746</v>
      </c>
      <c r="K62" s="254"/>
      <c r="L62" s="255"/>
      <c r="M62" s="254">
        <f t="shared" si="6"/>
        <v>1198.3270459999999</v>
      </c>
      <c r="N62" s="254"/>
      <c r="O62" s="431"/>
      <c r="P62" s="254">
        <f>AE62+AU62+BJ62+その３!P62+その３!AE62+その３!AU62+その３!BJ62+その３!CB62+その３!CQ62+その３!DG62</f>
        <v>3773.2023000000004</v>
      </c>
      <c r="Q62" s="263"/>
      <c r="R62" s="264"/>
      <c r="S62" s="254">
        <f t="shared" si="8"/>
        <v>1110.08514</v>
      </c>
      <c r="T62" s="254"/>
      <c r="U62" s="255"/>
      <c r="V62" s="254">
        <v>208.821</v>
      </c>
      <c r="W62" s="254"/>
      <c r="X62" s="255"/>
      <c r="Y62" s="256">
        <f>0.07254</f>
        <v>0.07254</v>
      </c>
      <c r="Z62" s="254"/>
      <c r="AA62" s="255"/>
      <c r="AB62" s="254">
        <f t="shared" si="14"/>
        <v>208.89354</v>
      </c>
      <c r="AC62" s="254"/>
      <c r="AD62" s="255"/>
      <c r="AE62" s="254">
        <v>901.1916</v>
      </c>
      <c r="AF62" s="265"/>
      <c r="AG62" s="209"/>
      <c r="AH62" s="264"/>
      <c r="AI62" s="254">
        <f t="shared" si="12"/>
        <v>3735.5571330000002</v>
      </c>
      <c r="AJ62" s="254"/>
      <c r="AK62" s="255"/>
      <c r="AL62" s="254">
        <v>975.5039</v>
      </c>
      <c r="AM62" s="254"/>
      <c r="AN62" s="255"/>
      <c r="AO62" s="256">
        <f>0.038+0.1324+3.277362+0.453341+0.2559+1.28623</f>
        <v>5.443232999999999</v>
      </c>
      <c r="AP62" s="254"/>
      <c r="AQ62" s="255"/>
      <c r="AR62" s="254">
        <f t="shared" si="13"/>
        <v>980.947133</v>
      </c>
      <c r="AS62" s="254"/>
      <c r="AT62" s="255"/>
      <c r="AU62" s="710">
        <v>2754.61</v>
      </c>
      <c r="AV62" s="265"/>
      <c r="AW62" s="264"/>
      <c r="AX62" s="254">
        <f t="shared" si="9"/>
        <v>13.0836</v>
      </c>
      <c r="AY62" s="254"/>
      <c r="AZ62" s="255"/>
      <c r="BA62" s="254">
        <v>1.0756</v>
      </c>
      <c r="BB62" s="254"/>
      <c r="BC62" s="255"/>
      <c r="BD62" s="266">
        <f>0.019</f>
        <v>0.019</v>
      </c>
      <c r="BE62" s="254"/>
      <c r="BF62" s="255"/>
      <c r="BG62" s="254">
        <f t="shared" si="11"/>
        <v>1.0945999999999998</v>
      </c>
      <c r="BH62" s="254"/>
      <c r="BI62" s="255"/>
      <c r="BJ62" s="254">
        <v>11.989</v>
      </c>
      <c r="BK62" s="254"/>
      <c r="BL62" s="571"/>
      <c r="BM62" s="199"/>
    </row>
    <row r="63" spans="1:65" s="197" customFormat="1" ht="15.75" customHeight="1">
      <c r="A63" s="610">
        <v>18</v>
      </c>
      <c r="B63" s="578" t="s">
        <v>168</v>
      </c>
      <c r="C63" s="273" t="s">
        <v>145</v>
      </c>
      <c r="D63" s="209">
        <f t="shared" si="10"/>
        <v>76.07130000000001</v>
      </c>
      <c r="E63" s="258" t="s">
        <v>146</v>
      </c>
      <c r="F63" s="259" t="s">
        <v>145</v>
      </c>
      <c r="G63" s="209">
        <f>V63+AL63+BA63+その３!G65+その３!V65+その３!AL65+その３!BA65+その３!BS65+その３!CH65+その３!CX65</f>
        <v>0</v>
      </c>
      <c r="H63" s="429" t="s">
        <v>146</v>
      </c>
      <c r="I63" s="258" t="s">
        <v>145</v>
      </c>
      <c r="J63" s="209">
        <f>Y63+AO63+BD63+その３!J65+その３!Y65+その３!AO65+その３!BD65+その３!BV65+その３!CK65+その３!DA65</f>
        <v>0.0631</v>
      </c>
      <c r="K63" s="258" t="s">
        <v>146</v>
      </c>
      <c r="L63" s="259" t="s">
        <v>145</v>
      </c>
      <c r="M63" s="209">
        <f t="shared" si="6"/>
        <v>0.0631</v>
      </c>
      <c r="N63" s="258" t="s">
        <v>146</v>
      </c>
      <c r="O63" s="430" t="s">
        <v>145</v>
      </c>
      <c r="P63" s="209">
        <f>AE63+AU63+BJ63+その３!P63+その３!AE63+その３!AU63+その３!BJ63+その３!CB63+その３!CQ63+その３!DG63</f>
        <v>76.0082</v>
      </c>
      <c r="Q63" s="260" t="s">
        <v>146</v>
      </c>
      <c r="R63" s="261"/>
      <c r="S63" s="209">
        <f t="shared" si="8"/>
        <v>0</v>
      </c>
      <c r="T63" s="258"/>
      <c r="U63" s="259"/>
      <c r="V63" s="258"/>
      <c r="W63" s="258"/>
      <c r="X63" s="259"/>
      <c r="Y63" s="258"/>
      <c r="Z63" s="258"/>
      <c r="AA63" s="259"/>
      <c r="AB63" s="209">
        <f t="shared" si="14"/>
        <v>0</v>
      </c>
      <c r="AC63" s="258"/>
      <c r="AD63" s="259"/>
      <c r="AE63" s="258"/>
      <c r="AF63" s="262"/>
      <c r="AG63" s="209"/>
      <c r="AH63" s="261" t="s">
        <v>145</v>
      </c>
      <c r="AI63" s="209">
        <f t="shared" si="12"/>
        <v>0</v>
      </c>
      <c r="AJ63" s="258" t="s">
        <v>146</v>
      </c>
      <c r="AK63" s="259" t="s">
        <v>145</v>
      </c>
      <c r="AL63" s="258"/>
      <c r="AM63" s="258" t="s">
        <v>146</v>
      </c>
      <c r="AN63" s="259" t="s">
        <v>145</v>
      </c>
      <c r="AO63" s="258"/>
      <c r="AP63" s="258" t="s">
        <v>146</v>
      </c>
      <c r="AQ63" s="259" t="s">
        <v>145</v>
      </c>
      <c r="AR63" s="209">
        <f t="shared" si="13"/>
        <v>0</v>
      </c>
      <c r="AS63" s="258" t="s">
        <v>146</v>
      </c>
      <c r="AT63" s="259" t="s">
        <v>145</v>
      </c>
      <c r="AU63" s="258"/>
      <c r="AV63" s="262" t="s">
        <v>146</v>
      </c>
      <c r="AW63" s="261" t="s">
        <v>145</v>
      </c>
      <c r="AX63" s="209">
        <f t="shared" si="9"/>
        <v>0</v>
      </c>
      <c r="AY63" s="258" t="s">
        <v>146</v>
      </c>
      <c r="AZ63" s="259" t="s">
        <v>145</v>
      </c>
      <c r="BA63" s="258"/>
      <c r="BB63" s="258" t="s">
        <v>146</v>
      </c>
      <c r="BC63" s="259" t="s">
        <v>145</v>
      </c>
      <c r="BD63" s="258"/>
      <c r="BE63" s="258" t="s">
        <v>146</v>
      </c>
      <c r="BF63" s="259" t="s">
        <v>145</v>
      </c>
      <c r="BG63" s="209">
        <f t="shared" si="11"/>
        <v>0</v>
      </c>
      <c r="BH63" s="258" t="s">
        <v>146</v>
      </c>
      <c r="BI63" s="259" t="s">
        <v>145</v>
      </c>
      <c r="BJ63" s="258"/>
      <c r="BK63" s="258" t="s">
        <v>146</v>
      </c>
      <c r="BL63" s="584">
        <f>BL61+1</f>
        <v>18</v>
      </c>
      <c r="BM63" s="199"/>
    </row>
    <row r="64" spans="1:65" s="197" customFormat="1" ht="15.75" customHeight="1">
      <c r="A64" s="610"/>
      <c r="B64" s="611"/>
      <c r="C64" s="274"/>
      <c r="D64" s="254">
        <f t="shared" si="10"/>
        <v>390.82509999999996</v>
      </c>
      <c r="E64" s="254"/>
      <c r="F64" s="255"/>
      <c r="G64" s="254">
        <f>V64+AL64+BA64+その３!G66+その３!V66+その３!AL66+その３!BA66+その３!BS66+その３!CH66+その３!CX66</f>
        <v>0</v>
      </c>
      <c r="H64" s="428"/>
      <c r="I64" s="254"/>
      <c r="J64" s="254">
        <f>Y64+AO64+BD64+その３!J66+その３!Y66+その３!AO66+その３!BD66+その３!BV66+その３!CK66+その３!DA66</f>
        <v>0.6928</v>
      </c>
      <c r="K64" s="254"/>
      <c r="L64" s="255"/>
      <c r="M64" s="254">
        <f t="shared" si="6"/>
        <v>0.6928</v>
      </c>
      <c r="N64" s="254"/>
      <c r="O64" s="431"/>
      <c r="P64" s="254">
        <f>AE64+AU64+BJ64+その３!P64+その３!AE64+その３!AU64+その３!BJ64+その３!CB64+その３!CQ64+その３!DG64</f>
        <v>390.1323</v>
      </c>
      <c r="Q64" s="263"/>
      <c r="R64" s="264"/>
      <c r="S64" s="254">
        <f t="shared" si="8"/>
        <v>171.509</v>
      </c>
      <c r="T64" s="254"/>
      <c r="U64" s="255"/>
      <c r="V64" s="254"/>
      <c r="W64" s="254"/>
      <c r="X64" s="255"/>
      <c r="Y64" s="254"/>
      <c r="Z64" s="254"/>
      <c r="AA64" s="255"/>
      <c r="AB64" s="254">
        <f t="shared" si="14"/>
        <v>0</v>
      </c>
      <c r="AC64" s="254"/>
      <c r="AD64" s="255"/>
      <c r="AE64" s="254">
        <v>171.509</v>
      </c>
      <c r="AF64" s="265"/>
      <c r="AG64" s="209"/>
      <c r="AH64" s="264"/>
      <c r="AI64" s="254">
        <f t="shared" si="12"/>
        <v>219.3161</v>
      </c>
      <c r="AJ64" s="254"/>
      <c r="AK64" s="255"/>
      <c r="AL64" s="254"/>
      <c r="AM64" s="254"/>
      <c r="AN64" s="255"/>
      <c r="AO64" s="254">
        <f>0.6928</f>
        <v>0.6928</v>
      </c>
      <c r="AP64" s="254"/>
      <c r="AQ64" s="255"/>
      <c r="AR64" s="254">
        <f t="shared" si="13"/>
        <v>0.6928</v>
      </c>
      <c r="AS64" s="254"/>
      <c r="AT64" s="255"/>
      <c r="AU64" s="254">
        <v>218.6233</v>
      </c>
      <c r="AV64" s="265"/>
      <c r="AW64" s="264"/>
      <c r="AX64" s="254">
        <f t="shared" si="9"/>
        <v>0</v>
      </c>
      <c r="AY64" s="254"/>
      <c r="AZ64" s="255"/>
      <c r="BA64" s="254"/>
      <c r="BB64" s="254"/>
      <c r="BC64" s="255"/>
      <c r="BD64" s="254"/>
      <c r="BE64" s="254"/>
      <c r="BF64" s="255"/>
      <c r="BG64" s="254">
        <f t="shared" si="11"/>
        <v>0</v>
      </c>
      <c r="BH64" s="254"/>
      <c r="BI64" s="255"/>
      <c r="BJ64" s="254"/>
      <c r="BK64" s="254"/>
      <c r="BL64" s="571"/>
      <c r="BM64" s="199"/>
    </row>
    <row r="65" spans="1:65" s="197" customFormat="1" ht="15.75" customHeight="1">
      <c r="A65" s="579">
        <v>19</v>
      </c>
      <c r="B65" s="578" t="s">
        <v>169</v>
      </c>
      <c r="C65" s="273" t="s">
        <v>145</v>
      </c>
      <c r="D65" s="209">
        <f t="shared" si="10"/>
        <v>121.6785</v>
      </c>
      <c r="E65" s="258" t="s">
        <v>146</v>
      </c>
      <c r="F65" s="259" t="s">
        <v>145</v>
      </c>
      <c r="G65" s="209">
        <f>V65+AL65+BA65+その３!G67+その３!V67+その３!AL67+その３!BA67+その３!BS67+その３!CH67+その３!CX67</f>
        <v>0</v>
      </c>
      <c r="H65" s="429" t="s">
        <v>146</v>
      </c>
      <c r="I65" s="258" t="s">
        <v>145</v>
      </c>
      <c r="J65" s="209">
        <f>Y65+AO65+BD65+その３!J67+その３!Y67+その３!AO67+その３!BD67+その３!BV67+その３!CK67+その３!DA67</f>
        <v>0</v>
      </c>
      <c r="K65" s="258" t="s">
        <v>146</v>
      </c>
      <c r="L65" s="259" t="s">
        <v>145</v>
      </c>
      <c r="M65" s="209">
        <f t="shared" si="6"/>
        <v>0</v>
      </c>
      <c r="N65" s="258" t="s">
        <v>146</v>
      </c>
      <c r="O65" s="430" t="s">
        <v>145</v>
      </c>
      <c r="P65" s="209">
        <f>AE65+AU65+BJ65+その３!P65+その３!AE65+その３!AU65+その３!BJ65+その３!CB65+その３!CQ65+その３!DG65</f>
        <v>121.6785</v>
      </c>
      <c r="Q65" s="260" t="s">
        <v>146</v>
      </c>
      <c r="R65" s="261"/>
      <c r="S65" s="209">
        <f t="shared" si="8"/>
        <v>0</v>
      </c>
      <c r="T65" s="258"/>
      <c r="U65" s="259"/>
      <c r="V65" s="258"/>
      <c r="W65" s="258"/>
      <c r="X65" s="259"/>
      <c r="Y65" s="258"/>
      <c r="Z65" s="258"/>
      <c r="AA65" s="259"/>
      <c r="AB65" s="209">
        <f t="shared" si="14"/>
        <v>0</v>
      </c>
      <c r="AC65" s="258"/>
      <c r="AD65" s="259"/>
      <c r="AE65" s="258"/>
      <c r="AF65" s="262"/>
      <c r="AG65" s="209"/>
      <c r="AH65" s="261" t="s">
        <v>145</v>
      </c>
      <c r="AI65" s="209">
        <f t="shared" si="12"/>
        <v>0</v>
      </c>
      <c r="AJ65" s="258" t="s">
        <v>146</v>
      </c>
      <c r="AK65" s="259" t="s">
        <v>145</v>
      </c>
      <c r="AL65" s="258"/>
      <c r="AM65" s="258" t="s">
        <v>146</v>
      </c>
      <c r="AN65" s="259" t="s">
        <v>145</v>
      </c>
      <c r="AO65" s="258"/>
      <c r="AP65" s="258" t="s">
        <v>146</v>
      </c>
      <c r="AQ65" s="259" t="s">
        <v>145</v>
      </c>
      <c r="AR65" s="209">
        <f t="shared" si="13"/>
        <v>0</v>
      </c>
      <c r="AS65" s="258" t="s">
        <v>146</v>
      </c>
      <c r="AT65" s="259" t="s">
        <v>145</v>
      </c>
      <c r="AU65" s="258"/>
      <c r="AV65" s="262" t="s">
        <v>146</v>
      </c>
      <c r="AW65" s="261" t="s">
        <v>145</v>
      </c>
      <c r="AX65" s="258">
        <f t="shared" si="9"/>
        <v>0</v>
      </c>
      <c r="AY65" s="258" t="s">
        <v>146</v>
      </c>
      <c r="AZ65" s="259" t="s">
        <v>145</v>
      </c>
      <c r="BA65" s="258"/>
      <c r="BB65" s="258" t="s">
        <v>146</v>
      </c>
      <c r="BC65" s="259" t="s">
        <v>145</v>
      </c>
      <c r="BD65" s="258"/>
      <c r="BE65" s="258" t="s">
        <v>146</v>
      </c>
      <c r="BF65" s="259" t="s">
        <v>145</v>
      </c>
      <c r="BG65" s="258">
        <f t="shared" si="11"/>
        <v>0</v>
      </c>
      <c r="BH65" s="258" t="s">
        <v>146</v>
      </c>
      <c r="BI65" s="259" t="s">
        <v>145</v>
      </c>
      <c r="BJ65" s="258"/>
      <c r="BK65" s="258" t="s">
        <v>146</v>
      </c>
      <c r="BL65" s="584">
        <f>BL63+1</f>
        <v>19</v>
      </c>
      <c r="BM65" s="199"/>
    </row>
    <row r="66" spans="1:65" s="197" customFormat="1" ht="15.75" customHeight="1" thickBot="1">
      <c r="A66" s="614"/>
      <c r="B66" s="615"/>
      <c r="C66" s="279"/>
      <c r="D66" s="217">
        <f t="shared" si="10"/>
        <v>131.2072</v>
      </c>
      <c r="E66" s="217"/>
      <c r="F66" s="218"/>
      <c r="G66" s="217">
        <f>V66+AL66+BA66+その３!G68+その３!V68+その３!AL68+その３!BA68+その３!BS68+その３!CH68+その３!CX68</f>
        <v>0</v>
      </c>
      <c r="H66" s="424"/>
      <c r="I66" s="217"/>
      <c r="J66" s="217">
        <f>Y66+AO66+BD66+その３!J68+その３!Y68+その３!AO68+その３!BD68+その３!BV68+その３!CK68+その３!DA68</f>
        <v>1.0283</v>
      </c>
      <c r="K66" s="217"/>
      <c r="L66" s="218"/>
      <c r="M66" s="217">
        <f t="shared" si="6"/>
        <v>1.0283</v>
      </c>
      <c r="N66" s="217"/>
      <c r="O66" s="432"/>
      <c r="P66" s="217">
        <f>AE66+AU66+BJ66+その３!P66+その３!AE66+その３!AU66+その３!BJ66+その３!CB66+その３!CQ66+その３!DG66</f>
        <v>130.1789</v>
      </c>
      <c r="Q66" s="280"/>
      <c r="R66" s="216"/>
      <c r="S66" s="217">
        <f t="shared" si="8"/>
        <v>0</v>
      </c>
      <c r="T66" s="217"/>
      <c r="U66" s="218"/>
      <c r="V66" s="217"/>
      <c r="W66" s="217"/>
      <c r="X66" s="218"/>
      <c r="Y66" s="217"/>
      <c r="Z66" s="217"/>
      <c r="AA66" s="218"/>
      <c r="AB66" s="217">
        <f t="shared" si="14"/>
        <v>0</v>
      </c>
      <c r="AC66" s="217"/>
      <c r="AD66" s="218"/>
      <c r="AE66" s="217"/>
      <c r="AF66" s="219"/>
      <c r="AG66" s="209"/>
      <c r="AH66" s="216"/>
      <c r="AI66" s="217">
        <f t="shared" si="12"/>
        <v>130.4726</v>
      </c>
      <c r="AJ66" s="217"/>
      <c r="AK66" s="218"/>
      <c r="AL66" s="217"/>
      <c r="AM66" s="217"/>
      <c r="AN66" s="218"/>
      <c r="AO66" s="217">
        <f>1.0283</f>
        <v>1.0283</v>
      </c>
      <c r="AP66" s="217"/>
      <c r="AQ66" s="218"/>
      <c r="AR66" s="217">
        <f t="shared" si="13"/>
        <v>1.0283</v>
      </c>
      <c r="AS66" s="217"/>
      <c r="AT66" s="218"/>
      <c r="AU66" s="217">
        <v>129.4443</v>
      </c>
      <c r="AV66" s="219"/>
      <c r="AW66" s="216"/>
      <c r="AX66" s="281">
        <f t="shared" si="9"/>
        <v>0.2346</v>
      </c>
      <c r="AY66" s="217"/>
      <c r="AZ66" s="218"/>
      <c r="BA66" s="217"/>
      <c r="BB66" s="217"/>
      <c r="BC66" s="218"/>
      <c r="BD66" s="217"/>
      <c r="BE66" s="217"/>
      <c r="BF66" s="218"/>
      <c r="BG66" s="217">
        <f t="shared" si="11"/>
        <v>0</v>
      </c>
      <c r="BH66" s="217"/>
      <c r="BI66" s="218"/>
      <c r="BJ66" s="282">
        <v>0.2346</v>
      </c>
      <c r="BK66" s="217"/>
      <c r="BL66" s="585"/>
      <c r="BM66" s="199"/>
    </row>
    <row r="67" spans="1:65" ht="13.5" customHeight="1">
      <c r="A67" s="316"/>
      <c r="B67" s="294"/>
      <c r="C67" s="316"/>
      <c r="D67" s="316"/>
      <c r="E67" s="316"/>
      <c r="F67" s="316"/>
      <c r="G67" s="316"/>
      <c r="H67" s="316"/>
      <c r="I67" s="316"/>
      <c r="J67" s="316"/>
      <c r="K67" s="316"/>
      <c r="L67" s="316"/>
      <c r="M67" s="316"/>
      <c r="N67" s="316"/>
      <c r="O67" s="316"/>
      <c r="P67" s="316"/>
      <c r="Q67" s="316"/>
      <c r="R67" s="316"/>
      <c r="S67" s="316"/>
      <c r="T67" s="316"/>
      <c r="U67" s="316"/>
      <c r="V67" s="316"/>
      <c r="W67" s="316"/>
      <c r="X67" s="316"/>
      <c r="Y67" s="316"/>
      <c r="Z67" s="316"/>
      <c r="AA67" s="316"/>
      <c r="AB67" s="316"/>
      <c r="AC67" s="316"/>
      <c r="AD67" s="316"/>
      <c r="AE67" s="316"/>
      <c r="AF67" s="316"/>
      <c r="AG67" s="316"/>
      <c r="AH67" s="316"/>
      <c r="AI67" s="316"/>
      <c r="AJ67" s="316"/>
      <c r="AK67" s="316"/>
      <c r="AL67" s="316"/>
      <c r="AM67" s="316"/>
      <c r="AN67" s="316"/>
      <c r="AO67" s="316"/>
      <c r="AP67" s="316"/>
      <c r="AQ67" s="316"/>
      <c r="AR67" s="316"/>
      <c r="AS67" s="316"/>
      <c r="AT67" s="316"/>
      <c r="AU67" s="316"/>
      <c r="AV67" s="316"/>
      <c r="AW67" s="316"/>
      <c r="AX67" s="317"/>
      <c r="AY67" s="316"/>
      <c r="AZ67" s="316"/>
      <c r="BA67" s="316"/>
      <c r="BB67" s="316"/>
      <c r="BC67" s="316"/>
      <c r="BD67" s="316"/>
      <c r="BE67" s="316"/>
      <c r="BF67" s="316"/>
      <c r="BG67" s="316"/>
      <c r="BH67" s="316"/>
      <c r="BI67" s="316"/>
      <c r="BJ67" s="316"/>
      <c r="BK67" s="316"/>
      <c r="BL67" s="316"/>
      <c r="BM67" s="316"/>
    </row>
    <row r="68" spans="1:65" ht="13.5" customHeight="1">
      <c r="A68" s="316"/>
      <c r="B68" s="294"/>
      <c r="C68" s="316"/>
      <c r="D68" s="316"/>
      <c r="E68" s="316"/>
      <c r="F68" s="316"/>
      <c r="G68" s="316"/>
      <c r="H68" s="316"/>
      <c r="I68" s="316"/>
      <c r="J68" s="316"/>
      <c r="K68" s="316"/>
      <c r="L68" s="316"/>
      <c r="M68" s="316"/>
      <c r="N68" s="316"/>
      <c r="O68" s="316"/>
      <c r="P68" s="316"/>
      <c r="Q68" s="316"/>
      <c r="R68" s="316"/>
      <c r="S68" s="316"/>
      <c r="T68" s="316"/>
      <c r="U68" s="316"/>
      <c r="V68" s="316"/>
      <c r="W68" s="316"/>
      <c r="X68" s="316"/>
      <c r="Y68" s="316"/>
      <c r="Z68" s="316"/>
      <c r="AA68" s="316"/>
      <c r="AB68" s="316"/>
      <c r="AC68" s="316"/>
      <c r="AD68" s="316"/>
      <c r="AE68" s="316"/>
      <c r="AF68" s="316"/>
      <c r="AG68" s="316"/>
      <c r="AH68" s="316"/>
      <c r="AI68" s="316"/>
      <c r="AJ68" s="316"/>
      <c r="AK68" s="316"/>
      <c r="AL68" s="316"/>
      <c r="AM68" s="316"/>
      <c r="AN68" s="316"/>
      <c r="AO68" s="316"/>
      <c r="AP68" s="316"/>
      <c r="AQ68" s="316"/>
      <c r="AR68" s="316"/>
      <c r="AS68" s="316"/>
      <c r="AT68" s="316"/>
      <c r="AU68" s="316"/>
      <c r="AV68" s="316"/>
      <c r="AW68" s="316"/>
      <c r="AX68" s="316"/>
      <c r="AY68" s="316"/>
      <c r="AZ68" s="316"/>
      <c r="BA68" s="316"/>
      <c r="BB68" s="316"/>
      <c r="BC68" s="316"/>
      <c r="BD68" s="316"/>
      <c r="BE68" s="316"/>
      <c r="BF68" s="316"/>
      <c r="BG68" s="316"/>
      <c r="BH68" s="316"/>
      <c r="BI68" s="316"/>
      <c r="BJ68" s="316"/>
      <c r="BK68" s="316"/>
      <c r="BL68" s="316"/>
      <c r="BM68" s="316"/>
    </row>
  </sheetData>
  <sheetProtection/>
  <mergeCells count="104">
    <mergeCell ref="B55:B56"/>
    <mergeCell ref="A55:A56"/>
    <mergeCell ref="A57:A58"/>
    <mergeCell ref="B57:B58"/>
    <mergeCell ref="BL57:BL58"/>
    <mergeCell ref="B59:B60"/>
    <mergeCell ref="A59:A60"/>
    <mergeCell ref="A11:B12"/>
    <mergeCell ref="A13:B14"/>
    <mergeCell ref="A6:B8"/>
    <mergeCell ref="A9:B10"/>
    <mergeCell ref="R6:AF6"/>
    <mergeCell ref="C6:Q6"/>
    <mergeCell ref="F8:H8"/>
    <mergeCell ref="I8:K8"/>
    <mergeCell ref="L8:N8"/>
    <mergeCell ref="F7:N7"/>
    <mergeCell ref="O7:Q8"/>
    <mergeCell ref="C7:E8"/>
    <mergeCell ref="U7:AC7"/>
    <mergeCell ref="U8:W8"/>
    <mergeCell ref="A15:B16"/>
    <mergeCell ref="B41:B42"/>
    <mergeCell ref="A21:A22"/>
    <mergeCell ref="A37:A38"/>
    <mergeCell ref="B37:B38"/>
    <mergeCell ref="A33:A34"/>
    <mergeCell ref="A39:A40"/>
    <mergeCell ref="B39:B40"/>
    <mergeCell ref="B21:B22"/>
    <mergeCell ref="B35:B36"/>
    <mergeCell ref="A61:A62"/>
    <mergeCell ref="B61:B62"/>
    <mergeCell ref="A65:A66"/>
    <mergeCell ref="B65:B66"/>
    <mergeCell ref="A63:A64"/>
    <mergeCell ref="B63:B64"/>
    <mergeCell ref="A53:A54"/>
    <mergeCell ref="A45:A46"/>
    <mergeCell ref="B45:B46"/>
    <mergeCell ref="A41:A42"/>
    <mergeCell ref="B53:B54"/>
    <mergeCell ref="A43:A44"/>
    <mergeCell ref="B43:B44"/>
    <mergeCell ref="A51:A52"/>
    <mergeCell ref="B51:B52"/>
    <mergeCell ref="B49:B50"/>
    <mergeCell ref="X8:Z8"/>
    <mergeCell ref="AA8:AC8"/>
    <mergeCell ref="AD7:AF8"/>
    <mergeCell ref="R7:T8"/>
    <mergeCell ref="AZ8:BB8"/>
    <mergeCell ref="BC8:BE8"/>
    <mergeCell ref="BL65:BL66"/>
    <mergeCell ref="BL63:BL64"/>
    <mergeCell ref="BL53:BL54"/>
    <mergeCell ref="BL51:BL52"/>
    <mergeCell ref="BL61:BL62"/>
    <mergeCell ref="BL55:BL56"/>
    <mergeCell ref="BL35:BL36"/>
    <mergeCell ref="BF8:BH8"/>
    <mergeCell ref="BL11:BL12"/>
    <mergeCell ref="BL9:BL10"/>
    <mergeCell ref="BL23:BL24"/>
    <mergeCell ref="BL27:BL28"/>
    <mergeCell ref="BL25:BL26"/>
    <mergeCell ref="BL33:BL34"/>
    <mergeCell ref="BL21:BL22"/>
    <mergeCell ref="BL13:BL14"/>
    <mergeCell ref="AH6:AV6"/>
    <mergeCell ref="AK8:AM8"/>
    <mergeCell ref="AN8:AP8"/>
    <mergeCell ref="AQ8:AS8"/>
    <mergeCell ref="AH7:AJ8"/>
    <mergeCell ref="AK7:AS7"/>
    <mergeCell ref="AT7:AV8"/>
    <mergeCell ref="BL43:BL44"/>
    <mergeCell ref="BL45:BL46"/>
    <mergeCell ref="BL37:BL38"/>
    <mergeCell ref="BL39:BL40"/>
    <mergeCell ref="BL41:BL42"/>
    <mergeCell ref="A49:A50"/>
    <mergeCell ref="B31:B32"/>
    <mergeCell ref="A31:A32"/>
    <mergeCell ref="B27:B28"/>
    <mergeCell ref="A35:A36"/>
    <mergeCell ref="A47:B48"/>
    <mergeCell ref="A23:A24"/>
    <mergeCell ref="B33:B34"/>
    <mergeCell ref="A29:B30"/>
    <mergeCell ref="A27:A28"/>
    <mergeCell ref="B25:B26"/>
    <mergeCell ref="B23:B24"/>
    <mergeCell ref="A25:A26"/>
    <mergeCell ref="BG1:BL1"/>
    <mergeCell ref="B17:B18"/>
    <mergeCell ref="A17:A18"/>
    <mergeCell ref="BL19:BL20"/>
    <mergeCell ref="A19:A20"/>
    <mergeCell ref="B19:B20"/>
    <mergeCell ref="AW6:BK6"/>
    <mergeCell ref="AZ7:BH7"/>
    <mergeCell ref="BI7:BK8"/>
    <mergeCell ref="AW7:AY8"/>
  </mergeCells>
  <printOptions horizontalCentered="1"/>
  <pageMargins left="0.3937007874015748" right="0.3937007874015748" top="0.5905511811023623" bottom="0.3937007874015748" header="0" footer="0"/>
  <pageSetup horizontalDpi="600" verticalDpi="600" orientation="portrait" pageOrder="overThenDown" paperSize="9" scale="70" r:id="rId1"/>
  <colBreaks count="1" manualBreakCount="1">
    <brk id="33" max="84" man="1"/>
  </colBreaks>
</worksheet>
</file>

<file path=xl/worksheets/sheet5.xml><?xml version="1.0" encoding="utf-8"?>
<worksheet xmlns="http://schemas.openxmlformats.org/spreadsheetml/2006/main" xmlns:r="http://schemas.openxmlformats.org/officeDocument/2006/relationships">
  <dimension ref="A1:EQ61"/>
  <sheetViews>
    <sheetView zoomScaleSheetLayoutView="75" zoomScalePageLayoutView="0" workbookViewId="0" topLeftCell="A1">
      <pane xSplit="2" ySplit="8" topLeftCell="AK45" activePane="bottomRight" state="frozen"/>
      <selection pane="topLeft" activeCell="P47" sqref="P47"/>
      <selection pane="topRight" activeCell="P47" sqref="P47"/>
      <selection pane="bottomLeft" activeCell="P47" sqref="P47"/>
      <selection pane="bottomRight" activeCell="AK2" sqref="AK2"/>
    </sheetView>
  </sheetViews>
  <sheetFormatPr defaultColWidth="9.00390625" defaultRowHeight="13.5" customHeight="1"/>
  <cols>
    <col min="1" max="1" width="3.625" style="197" customWidth="1"/>
    <col min="2" max="2" width="11.625" style="283" customWidth="1"/>
    <col min="3" max="3" width="2.125" style="197" customWidth="1"/>
    <col min="4" max="4" width="7.625" style="197" customWidth="1"/>
    <col min="5" max="6" width="2.125" style="197" customWidth="1"/>
    <col min="7" max="7" width="7.625" style="197" customWidth="1"/>
    <col min="8" max="9" width="2.125" style="197" customWidth="1"/>
    <col min="10" max="10" width="3.125" style="197" customWidth="1"/>
    <col min="11" max="12" width="2.125" style="197" customWidth="1"/>
    <col min="13" max="13" width="7.625" style="197" customWidth="1"/>
    <col min="14" max="15" width="2.625" style="197" customWidth="1"/>
    <col min="16" max="16" width="7.625" style="197" customWidth="1"/>
    <col min="17" max="18" width="2.125" style="197" customWidth="1"/>
    <col min="19" max="19" width="7.625" style="197" customWidth="1"/>
    <col min="20" max="21" width="2.125" style="197" customWidth="1"/>
    <col min="22" max="22" width="7.625" style="197" customWidth="1"/>
    <col min="23" max="24" width="2.125" style="197" customWidth="1"/>
    <col min="25" max="25" width="3.125" style="197" customWidth="1"/>
    <col min="26" max="27" width="2.125" style="197" customWidth="1"/>
    <col min="28" max="28" width="7.625" style="197" customWidth="1"/>
    <col min="29" max="30" width="2.125" style="197" customWidth="1"/>
    <col min="31" max="31" width="7.625" style="197" customWidth="1"/>
    <col min="32" max="32" width="2.00390625" style="197" customWidth="1"/>
    <col min="33" max="33" width="6.625" style="197" hidden="1" customWidth="1"/>
    <col min="34" max="34" width="2.125" style="197" hidden="1" customWidth="1"/>
    <col min="35" max="35" width="2.625" style="199" customWidth="1"/>
    <col min="36" max="36" width="2.00390625" style="197" customWidth="1"/>
    <col min="37" max="37" width="8.625" style="197" customWidth="1"/>
    <col min="38" max="39" width="2.125" style="197" customWidth="1"/>
    <col min="40" max="40" width="8.625" style="197" customWidth="1"/>
    <col min="41" max="42" width="2.125" style="197" customWidth="1"/>
    <col min="43" max="43" width="3.125" style="197" customWidth="1"/>
    <col min="44" max="45" width="2.125" style="197" customWidth="1"/>
    <col min="46" max="46" width="8.625" style="197" customWidth="1"/>
    <col min="47" max="48" width="2.125" style="197" customWidth="1"/>
    <col min="49" max="49" width="8.625" style="197" customWidth="1"/>
    <col min="50" max="51" width="2.125" style="197" customWidth="1"/>
    <col min="52" max="52" width="8.625" style="197" customWidth="1"/>
    <col min="53" max="54" width="2.125" style="197" customWidth="1"/>
    <col min="55" max="55" width="8.625" style="197" customWidth="1"/>
    <col min="56" max="57" width="2.125" style="197" customWidth="1"/>
    <col min="58" max="58" width="3.125" style="197" customWidth="1"/>
    <col min="59" max="60" width="2.125" style="197" customWidth="1"/>
    <col min="61" max="61" width="8.625" style="197" customWidth="1"/>
    <col min="62" max="63" width="2.125" style="197" customWidth="1"/>
    <col min="64" max="64" width="8.625" style="197" customWidth="1"/>
    <col min="65" max="65" width="2.125" style="197" customWidth="1"/>
    <col min="66" max="66" width="3.625" style="197" customWidth="1"/>
    <col min="67" max="16384" width="9.00390625" style="197" customWidth="1"/>
  </cols>
  <sheetData>
    <row r="1" spans="1:66" ht="18" customHeight="1">
      <c r="A1" s="467" t="s">
        <v>320</v>
      </c>
      <c r="BI1" s="567" t="s">
        <v>296</v>
      </c>
      <c r="BJ1" s="703"/>
      <c r="BK1" s="703"/>
      <c r="BL1" s="703"/>
      <c r="BM1" s="703"/>
      <c r="BN1" s="703"/>
    </row>
    <row r="2" s="713" customFormat="1" ht="45" customHeight="1"/>
    <row r="3" s="713" customFormat="1" ht="18" customHeight="1"/>
    <row r="4" s="713" customFormat="1" ht="12" customHeight="1"/>
    <row r="5" spans="1:67" ht="13.5" customHeight="1" thickBot="1">
      <c r="A5" s="200"/>
      <c r="B5" s="284"/>
      <c r="C5" s="200"/>
      <c r="D5" s="200"/>
      <c r="E5" s="200"/>
      <c r="F5" s="200"/>
      <c r="G5" s="200"/>
      <c r="H5" s="200"/>
      <c r="I5" s="200"/>
      <c r="J5" s="200"/>
      <c r="K5" s="200"/>
      <c r="L5" s="199"/>
      <c r="M5" s="199"/>
      <c r="N5" s="199"/>
      <c r="O5" s="199"/>
      <c r="P5" s="199"/>
      <c r="Q5" s="199"/>
      <c r="R5" s="199"/>
      <c r="S5" s="199"/>
      <c r="T5" s="199"/>
      <c r="U5" s="199"/>
      <c r="V5" s="199"/>
      <c r="W5" s="199"/>
      <c r="X5" s="199"/>
      <c r="Y5" s="199"/>
      <c r="Z5" s="199"/>
      <c r="AA5" s="199"/>
      <c r="AB5" s="199"/>
      <c r="AC5" s="199"/>
      <c r="AD5" s="199"/>
      <c r="AE5" s="199"/>
      <c r="AF5" s="199"/>
      <c r="AG5" s="199"/>
      <c r="AH5" s="199"/>
      <c r="AI5" s="198"/>
      <c r="AJ5" s="199"/>
      <c r="AK5" s="199"/>
      <c r="AL5" s="199"/>
      <c r="AM5" s="199"/>
      <c r="AN5" s="199"/>
      <c r="AO5" s="199"/>
      <c r="AP5" s="199"/>
      <c r="AQ5" s="199"/>
      <c r="AR5" s="199"/>
      <c r="AS5" s="199"/>
      <c r="AT5" s="199"/>
      <c r="AU5" s="199"/>
      <c r="AV5" s="199"/>
      <c r="AW5" s="199"/>
      <c r="AX5" s="199"/>
      <c r="AY5" s="199"/>
      <c r="AZ5" s="199"/>
      <c r="BA5" s="199"/>
      <c r="BB5" s="199"/>
      <c r="BC5" s="199"/>
      <c r="BD5" s="199"/>
      <c r="BE5" s="199"/>
      <c r="BF5" s="199"/>
      <c r="BG5" s="199"/>
      <c r="BH5" s="199"/>
      <c r="BI5" s="199"/>
      <c r="BJ5" s="199"/>
      <c r="BK5" s="199"/>
      <c r="BL5" s="199"/>
      <c r="BM5" s="199"/>
      <c r="BN5" s="201" t="s">
        <v>132</v>
      </c>
      <c r="BO5" s="199"/>
    </row>
    <row r="6" spans="1:147" s="204" customFormat="1" ht="15.75" customHeight="1">
      <c r="A6" s="627" t="s">
        <v>133</v>
      </c>
      <c r="B6" s="628"/>
      <c r="C6" s="618" t="s">
        <v>134</v>
      </c>
      <c r="D6" s="619"/>
      <c r="E6" s="619"/>
      <c r="F6" s="619"/>
      <c r="G6" s="619"/>
      <c r="H6" s="619"/>
      <c r="I6" s="619"/>
      <c r="J6" s="619"/>
      <c r="K6" s="619"/>
      <c r="L6" s="619"/>
      <c r="M6" s="619"/>
      <c r="N6" s="619"/>
      <c r="O6" s="619"/>
      <c r="P6" s="619"/>
      <c r="Q6" s="620"/>
      <c r="R6" s="636" t="s">
        <v>170</v>
      </c>
      <c r="S6" s="637"/>
      <c r="T6" s="637"/>
      <c r="U6" s="587"/>
      <c r="V6" s="587"/>
      <c r="W6" s="587"/>
      <c r="X6" s="587"/>
      <c r="Y6" s="587"/>
      <c r="Z6" s="587"/>
      <c r="AA6" s="587"/>
      <c r="AB6" s="587"/>
      <c r="AC6" s="587"/>
      <c r="AD6" s="587"/>
      <c r="AE6" s="587"/>
      <c r="AF6" s="588"/>
      <c r="AG6" s="202"/>
      <c r="AH6" s="409" t="s">
        <v>276</v>
      </c>
      <c r="AI6" s="202"/>
      <c r="AJ6" s="586" t="s">
        <v>136</v>
      </c>
      <c r="AK6" s="587"/>
      <c r="AL6" s="587"/>
      <c r="AM6" s="587"/>
      <c r="AN6" s="587"/>
      <c r="AO6" s="587"/>
      <c r="AP6" s="587"/>
      <c r="AQ6" s="587"/>
      <c r="AR6" s="587"/>
      <c r="AS6" s="587"/>
      <c r="AT6" s="587"/>
      <c r="AU6" s="587"/>
      <c r="AV6" s="587"/>
      <c r="AW6" s="587"/>
      <c r="AX6" s="588"/>
      <c r="AY6" s="586" t="s">
        <v>137</v>
      </c>
      <c r="AZ6" s="587"/>
      <c r="BA6" s="587"/>
      <c r="BB6" s="587"/>
      <c r="BC6" s="587"/>
      <c r="BD6" s="587"/>
      <c r="BE6" s="587"/>
      <c r="BF6" s="587"/>
      <c r="BG6" s="587"/>
      <c r="BH6" s="587"/>
      <c r="BI6" s="587"/>
      <c r="BJ6" s="587"/>
      <c r="BK6" s="587"/>
      <c r="BL6" s="587"/>
      <c r="BM6" s="588"/>
      <c r="BN6" s="203"/>
      <c r="BO6" s="199"/>
      <c r="BP6" s="199"/>
      <c r="BQ6" s="199"/>
      <c r="BR6" s="199"/>
      <c r="BS6" s="199"/>
      <c r="BT6" s="199"/>
      <c r="BU6" s="199"/>
      <c r="BV6" s="199"/>
      <c r="BW6" s="199"/>
      <c r="BX6" s="199"/>
      <c r="BY6" s="199"/>
      <c r="BZ6" s="199"/>
      <c r="CA6" s="199"/>
      <c r="CB6" s="199"/>
      <c r="CC6" s="199"/>
      <c r="CD6" s="199"/>
      <c r="CE6" s="199"/>
      <c r="CF6" s="199"/>
      <c r="CG6" s="199"/>
      <c r="CH6" s="199"/>
      <c r="CI6" s="199"/>
      <c r="CJ6" s="199"/>
      <c r="CK6" s="199"/>
      <c r="CL6" s="199"/>
      <c r="CM6" s="199"/>
      <c r="CN6" s="199"/>
      <c r="CO6" s="199"/>
      <c r="CP6" s="199"/>
      <c r="CQ6" s="199"/>
      <c r="CR6" s="199"/>
      <c r="CS6" s="199"/>
      <c r="CT6" s="199"/>
      <c r="CU6" s="199"/>
      <c r="CV6" s="199"/>
      <c r="CW6" s="199"/>
      <c r="CX6" s="199"/>
      <c r="CY6" s="199"/>
      <c r="CZ6" s="199"/>
      <c r="DA6" s="199"/>
      <c r="DB6" s="199"/>
      <c r="DC6" s="199"/>
      <c r="DD6" s="199"/>
      <c r="DE6" s="199"/>
      <c r="DF6" s="199"/>
      <c r="DG6" s="199"/>
      <c r="DH6" s="199"/>
      <c r="DI6" s="199"/>
      <c r="DJ6" s="199"/>
      <c r="DK6" s="199"/>
      <c r="DL6" s="199"/>
      <c r="DM6" s="199"/>
      <c r="DN6" s="199"/>
      <c r="DO6" s="199"/>
      <c r="DP6" s="199"/>
      <c r="DQ6" s="199"/>
      <c r="DR6" s="199"/>
      <c r="DS6" s="199"/>
      <c r="DT6" s="199"/>
      <c r="DU6" s="199"/>
      <c r="DV6" s="199"/>
      <c r="DW6" s="199"/>
      <c r="DX6" s="199"/>
      <c r="DY6" s="199"/>
      <c r="DZ6" s="199"/>
      <c r="EA6" s="199"/>
      <c r="EB6" s="199"/>
      <c r="EC6" s="199"/>
      <c r="ED6" s="199"/>
      <c r="EE6" s="199"/>
      <c r="EF6" s="199"/>
      <c r="EG6" s="199"/>
      <c r="EH6" s="199"/>
      <c r="EI6" s="199"/>
      <c r="EJ6" s="199"/>
      <c r="EK6" s="199"/>
      <c r="EL6" s="199"/>
      <c r="EM6" s="199"/>
      <c r="EN6" s="199"/>
      <c r="EO6" s="199"/>
      <c r="EP6" s="199"/>
      <c r="EQ6" s="199"/>
    </row>
    <row r="7" spans="1:147" s="204" customFormat="1" ht="15.75" customHeight="1">
      <c r="A7" s="634"/>
      <c r="B7" s="635"/>
      <c r="C7" s="598" t="s">
        <v>138</v>
      </c>
      <c r="D7" s="593"/>
      <c r="E7" s="599"/>
      <c r="F7" s="589" t="s">
        <v>139</v>
      </c>
      <c r="G7" s="590"/>
      <c r="H7" s="590"/>
      <c r="I7" s="590"/>
      <c r="J7" s="590"/>
      <c r="K7" s="590"/>
      <c r="L7" s="590"/>
      <c r="M7" s="590"/>
      <c r="N7" s="591"/>
      <c r="O7" s="592" t="s">
        <v>140</v>
      </c>
      <c r="P7" s="593"/>
      <c r="Q7" s="594"/>
      <c r="R7" s="598" t="s">
        <v>138</v>
      </c>
      <c r="S7" s="593"/>
      <c r="T7" s="599"/>
      <c r="U7" s="589" t="s">
        <v>139</v>
      </c>
      <c r="V7" s="590"/>
      <c r="W7" s="590"/>
      <c r="X7" s="590"/>
      <c r="Y7" s="590"/>
      <c r="Z7" s="590"/>
      <c r="AA7" s="590"/>
      <c r="AB7" s="590"/>
      <c r="AC7" s="591"/>
      <c r="AD7" s="592" t="s">
        <v>140</v>
      </c>
      <c r="AE7" s="593"/>
      <c r="AF7" s="594"/>
      <c r="AG7" s="205"/>
      <c r="AH7" s="408" t="s">
        <v>138</v>
      </c>
      <c r="AI7" s="250"/>
      <c r="AJ7" s="598" t="s">
        <v>138</v>
      </c>
      <c r="AK7" s="593"/>
      <c r="AL7" s="599"/>
      <c r="AM7" s="589" t="s">
        <v>139</v>
      </c>
      <c r="AN7" s="590"/>
      <c r="AO7" s="590"/>
      <c r="AP7" s="590"/>
      <c r="AQ7" s="590"/>
      <c r="AR7" s="590"/>
      <c r="AS7" s="590"/>
      <c r="AT7" s="590"/>
      <c r="AU7" s="591"/>
      <c r="AV7" s="592" t="s">
        <v>140</v>
      </c>
      <c r="AW7" s="593"/>
      <c r="AX7" s="594"/>
      <c r="AY7" s="598" t="s">
        <v>138</v>
      </c>
      <c r="AZ7" s="593"/>
      <c r="BA7" s="599"/>
      <c r="BB7" s="589" t="s">
        <v>139</v>
      </c>
      <c r="BC7" s="590"/>
      <c r="BD7" s="590"/>
      <c r="BE7" s="590"/>
      <c r="BF7" s="590"/>
      <c r="BG7" s="590"/>
      <c r="BH7" s="590"/>
      <c r="BI7" s="590"/>
      <c r="BJ7" s="591"/>
      <c r="BK7" s="592" t="s">
        <v>140</v>
      </c>
      <c r="BL7" s="593"/>
      <c r="BM7" s="594"/>
      <c r="BN7" s="206"/>
      <c r="BO7" s="199"/>
      <c r="BP7" s="199"/>
      <c r="BQ7" s="199"/>
      <c r="BR7" s="199"/>
      <c r="BS7" s="199"/>
      <c r="BT7" s="199"/>
      <c r="BU7" s="199"/>
      <c r="BV7" s="199"/>
      <c r="BW7" s="199"/>
      <c r="BX7" s="199"/>
      <c r="BY7" s="199"/>
      <c r="BZ7" s="199"/>
      <c r="CA7" s="199"/>
      <c r="CB7" s="199"/>
      <c r="CC7" s="199"/>
      <c r="CD7" s="199"/>
      <c r="CE7" s="199"/>
      <c r="CF7" s="199"/>
      <c r="CG7" s="199"/>
      <c r="CH7" s="199"/>
      <c r="CI7" s="199"/>
      <c r="CJ7" s="199"/>
      <c r="CK7" s="199"/>
      <c r="CL7" s="199"/>
      <c r="CM7" s="199"/>
      <c r="CN7" s="199"/>
      <c r="CO7" s="199"/>
      <c r="CP7" s="199"/>
      <c r="CQ7" s="199"/>
      <c r="CR7" s="199"/>
      <c r="CS7" s="199"/>
      <c r="CT7" s="199"/>
      <c r="CU7" s="199"/>
      <c r="CV7" s="199"/>
      <c r="CW7" s="199"/>
      <c r="CX7" s="199"/>
      <c r="CY7" s="199"/>
      <c r="CZ7" s="199"/>
      <c r="DA7" s="199"/>
      <c r="DB7" s="199"/>
      <c r="DC7" s="199"/>
      <c r="DD7" s="199"/>
      <c r="DE7" s="199"/>
      <c r="DF7" s="199"/>
      <c r="DG7" s="199"/>
      <c r="DH7" s="199"/>
      <c r="DI7" s="199"/>
      <c r="DJ7" s="199"/>
      <c r="DK7" s="199"/>
      <c r="DL7" s="199"/>
      <c r="DM7" s="199"/>
      <c r="DN7" s="199"/>
      <c r="DO7" s="199"/>
      <c r="DP7" s="199"/>
      <c r="DQ7" s="199"/>
      <c r="DR7" s="199"/>
      <c r="DS7" s="199"/>
      <c r="DT7" s="199"/>
      <c r="DU7" s="199"/>
      <c r="DV7" s="199"/>
      <c r="DW7" s="199"/>
      <c r="DX7" s="199"/>
      <c r="DY7" s="199"/>
      <c r="DZ7" s="199"/>
      <c r="EA7" s="199"/>
      <c r="EB7" s="199"/>
      <c r="EC7" s="199"/>
      <c r="ED7" s="199"/>
      <c r="EE7" s="199"/>
      <c r="EF7" s="199"/>
      <c r="EG7" s="199"/>
      <c r="EH7" s="199"/>
      <c r="EI7" s="199"/>
      <c r="EJ7" s="199"/>
      <c r="EK7" s="199"/>
      <c r="EL7" s="199"/>
      <c r="EM7" s="199"/>
      <c r="EN7" s="199"/>
      <c r="EO7" s="199"/>
      <c r="EP7" s="199"/>
      <c r="EQ7" s="199"/>
    </row>
    <row r="8" spans="1:147" s="204" customFormat="1" ht="15.75" customHeight="1" thickBot="1">
      <c r="A8" s="600"/>
      <c r="B8" s="597"/>
      <c r="C8" s="600"/>
      <c r="D8" s="596"/>
      <c r="E8" s="601"/>
      <c r="F8" s="602" t="s">
        <v>141</v>
      </c>
      <c r="G8" s="603"/>
      <c r="H8" s="604"/>
      <c r="I8" s="602" t="s">
        <v>142</v>
      </c>
      <c r="J8" s="603"/>
      <c r="K8" s="604"/>
      <c r="L8" s="602" t="s">
        <v>143</v>
      </c>
      <c r="M8" s="603"/>
      <c r="N8" s="604"/>
      <c r="O8" s="595"/>
      <c r="P8" s="596"/>
      <c r="Q8" s="597"/>
      <c r="R8" s="600"/>
      <c r="S8" s="596"/>
      <c r="T8" s="601"/>
      <c r="U8" s="602" t="s">
        <v>141</v>
      </c>
      <c r="V8" s="603"/>
      <c r="W8" s="604"/>
      <c r="X8" s="602" t="s">
        <v>142</v>
      </c>
      <c r="Y8" s="603"/>
      <c r="Z8" s="604"/>
      <c r="AA8" s="602" t="s">
        <v>143</v>
      </c>
      <c r="AB8" s="603"/>
      <c r="AC8" s="604"/>
      <c r="AD8" s="595"/>
      <c r="AE8" s="596"/>
      <c r="AF8" s="597"/>
      <c r="AG8" s="205"/>
      <c r="AH8" s="433"/>
      <c r="AI8" s="285"/>
      <c r="AJ8" s="600"/>
      <c r="AK8" s="596"/>
      <c r="AL8" s="601"/>
      <c r="AM8" s="602" t="s">
        <v>141</v>
      </c>
      <c r="AN8" s="603"/>
      <c r="AO8" s="604"/>
      <c r="AP8" s="602" t="s">
        <v>142</v>
      </c>
      <c r="AQ8" s="603"/>
      <c r="AR8" s="604"/>
      <c r="AS8" s="602" t="s">
        <v>143</v>
      </c>
      <c r="AT8" s="603"/>
      <c r="AU8" s="604"/>
      <c r="AV8" s="595"/>
      <c r="AW8" s="596"/>
      <c r="AX8" s="597"/>
      <c r="AY8" s="600"/>
      <c r="AZ8" s="596"/>
      <c r="BA8" s="601"/>
      <c r="BB8" s="602" t="s">
        <v>141</v>
      </c>
      <c r="BC8" s="603"/>
      <c r="BD8" s="604"/>
      <c r="BE8" s="602" t="s">
        <v>142</v>
      </c>
      <c r="BF8" s="603"/>
      <c r="BG8" s="604"/>
      <c r="BH8" s="602" t="s">
        <v>143</v>
      </c>
      <c r="BI8" s="603"/>
      <c r="BJ8" s="604"/>
      <c r="BK8" s="595"/>
      <c r="BL8" s="596"/>
      <c r="BM8" s="597"/>
      <c r="BN8" s="207"/>
      <c r="BO8" s="199"/>
      <c r="BP8" s="199"/>
      <c r="BQ8" s="199"/>
      <c r="BR8" s="199"/>
      <c r="BS8" s="199"/>
      <c r="BT8" s="199"/>
      <c r="BU8" s="199"/>
      <c r="BV8" s="199"/>
      <c r="BW8" s="199"/>
      <c r="BX8" s="199"/>
      <c r="BY8" s="199"/>
      <c r="BZ8" s="199"/>
      <c r="CA8" s="199"/>
      <c r="CB8" s="199"/>
      <c r="CC8" s="199"/>
      <c r="CD8" s="199"/>
      <c r="CE8" s="199"/>
      <c r="CF8" s="199"/>
      <c r="CG8" s="199"/>
      <c r="CH8" s="199"/>
      <c r="CI8" s="199"/>
      <c r="CJ8" s="199"/>
      <c r="CK8" s="199"/>
      <c r="CL8" s="199"/>
      <c r="CM8" s="199"/>
      <c r="CN8" s="199"/>
      <c r="CO8" s="199"/>
      <c r="CP8" s="199"/>
      <c r="CQ8" s="199"/>
      <c r="CR8" s="199"/>
      <c r="CS8" s="199"/>
      <c r="CT8" s="199"/>
      <c r="CU8" s="199"/>
      <c r="CV8" s="199"/>
      <c r="CW8" s="199"/>
      <c r="CX8" s="199"/>
      <c r="CY8" s="199"/>
      <c r="CZ8" s="199"/>
      <c r="DA8" s="199"/>
      <c r="DB8" s="199"/>
      <c r="DC8" s="199"/>
      <c r="DD8" s="199"/>
      <c r="DE8" s="199"/>
      <c r="DF8" s="199"/>
      <c r="DG8" s="199"/>
      <c r="DH8" s="199"/>
      <c r="DI8" s="199"/>
      <c r="DJ8" s="199"/>
      <c r="DK8" s="199"/>
      <c r="DL8" s="199"/>
      <c r="DM8" s="199"/>
      <c r="DN8" s="199"/>
      <c r="DO8" s="199"/>
      <c r="DP8" s="199"/>
      <c r="DQ8" s="199"/>
      <c r="DR8" s="199"/>
      <c r="DS8" s="199"/>
      <c r="DT8" s="199"/>
      <c r="DU8" s="199"/>
      <c r="DV8" s="199"/>
      <c r="DW8" s="199"/>
      <c r="DX8" s="199"/>
      <c r="DY8" s="199"/>
      <c r="DZ8" s="199"/>
      <c r="EA8" s="199"/>
      <c r="EB8" s="199"/>
      <c r="EC8" s="199"/>
      <c r="ED8" s="199"/>
      <c r="EE8" s="199"/>
      <c r="EF8" s="199"/>
      <c r="EG8" s="199"/>
      <c r="EH8" s="199"/>
      <c r="EI8" s="199"/>
      <c r="EJ8" s="199"/>
      <c r="EK8" s="199"/>
      <c r="EL8" s="199"/>
      <c r="EM8" s="199"/>
      <c r="EN8" s="199"/>
      <c r="EO8" s="199"/>
      <c r="EP8" s="199"/>
      <c r="EQ8" s="199"/>
    </row>
    <row r="9" spans="1:67" s="245" customFormat="1" ht="15.75" customHeight="1">
      <c r="A9" s="612"/>
      <c r="B9" s="568" t="s">
        <v>295</v>
      </c>
      <c r="C9" s="271" t="s">
        <v>145</v>
      </c>
      <c r="D9" s="220">
        <f aca="true" t="shared" si="0" ref="D9:D30">M9+P9</f>
        <v>1283.7286</v>
      </c>
      <c r="E9" s="230" t="s">
        <v>146</v>
      </c>
      <c r="F9" s="232" t="s">
        <v>145</v>
      </c>
      <c r="G9" s="220">
        <f>G11+G13</f>
        <v>132.23</v>
      </c>
      <c r="H9" s="231" t="s">
        <v>146</v>
      </c>
      <c r="I9" s="230" t="s">
        <v>145</v>
      </c>
      <c r="J9" s="220">
        <f>J11+J13</f>
        <v>0</v>
      </c>
      <c r="K9" s="230" t="s">
        <v>146</v>
      </c>
      <c r="L9" s="232" t="s">
        <v>145</v>
      </c>
      <c r="M9" s="220">
        <f aca="true" t="shared" si="1" ref="M9:M30">G9+J9</f>
        <v>132.23</v>
      </c>
      <c r="N9" s="230" t="s">
        <v>146</v>
      </c>
      <c r="O9" s="223" t="s">
        <v>145</v>
      </c>
      <c r="P9" s="220">
        <f>P11+P13</f>
        <v>1151.4986</v>
      </c>
      <c r="Q9" s="224" t="s">
        <v>146</v>
      </c>
      <c r="R9" s="229"/>
      <c r="S9" s="220">
        <f>AB9+AE9</f>
        <v>0</v>
      </c>
      <c r="T9" s="230"/>
      <c r="U9" s="232"/>
      <c r="V9" s="230">
        <f>V11+V13</f>
        <v>0</v>
      </c>
      <c r="W9" s="231"/>
      <c r="X9" s="230"/>
      <c r="Y9" s="230">
        <f>Y11+Y13</f>
        <v>0</v>
      </c>
      <c r="Z9" s="230"/>
      <c r="AA9" s="232"/>
      <c r="AB9" s="220">
        <f aca="true" t="shared" si="2" ref="AB9:AB14">V9+Y9</f>
        <v>0</v>
      </c>
      <c r="AC9" s="230"/>
      <c r="AD9" s="233"/>
      <c r="AE9" s="230">
        <f>AE11+AE13</f>
        <v>0</v>
      </c>
      <c r="AF9" s="234"/>
      <c r="AG9" s="224"/>
      <c r="AH9" s="229" t="s">
        <v>145</v>
      </c>
      <c r="AI9" s="276"/>
      <c r="AJ9" s="434" t="s">
        <v>321</v>
      </c>
      <c r="AK9" s="220">
        <f aca="true" t="shared" si="3" ref="AK9:AK30">AT9+AW9</f>
        <v>0</v>
      </c>
      <c r="AL9" s="230" t="s">
        <v>146</v>
      </c>
      <c r="AM9" s="232" t="s">
        <v>145</v>
      </c>
      <c r="AN9" s="230">
        <f>AN11+AN13</f>
        <v>0</v>
      </c>
      <c r="AO9" s="231" t="s">
        <v>146</v>
      </c>
      <c r="AP9" s="230" t="s">
        <v>145</v>
      </c>
      <c r="AQ9" s="230">
        <f>AQ11+AQ13</f>
        <v>0</v>
      </c>
      <c r="AR9" s="230" t="s">
        <v>146</v>
      </c>
      <c r="AS9" s="232" t="s">
        <v>145</v>
      </c>
      <c r="AT9" s="220">
        <f aca="true" t="shared" si="4" ref="AT9:AT30">AN9+AQ9</f>
        <v>0</v>
      </c>
      <c r="AU9" s="230" t="s">
        <v>146</v>
      </c>
      <c r="AV9" s="233" t="s">
        <v>145</v>
      </c>
      <c r="AW9" s="230">
        <f>AW11+AW13</f>
        <v>0</v>
      </c>
      <c r="AX9" s="426" t="s">
        <v>146</v>
      </c>
      <c r="AY9" s="229" t="s">
        <v>145</v>
      </c>
      <c r="AZ9" s="220">
        <f aca="true" t="shared" si="5" ref="AZ9:AZ30">BI9+BL9</f>
        <v>0</v>
      </c>
      <c r="BA9" s="230" t="s">
        <v>146</v>
      </c>
      <c r="BB9" s="232" t="s">
        <v>145</v>
      </c>
      <c r="BC9" s="230">
        <f>BC11+BC13</f>
        <v>0</v>
      </c>
      <c r="BD9" s="231" t="s">
        <v>146</v>
      </c>
      <c r="BE9" s="230" t="s">
        <v>145</v>
      </c>
      <c r="BF9" s="230">
        <f>BF11+BF13</f>
        <v>0</v>
      </c>
      <c r="BG9" s="230" t="s">
        <v>146</v>
      </c>
      <c r="BH9" s="232" t="s">
        <v>145</v>
      </c>
      <c r="BI9" s="220">
        <f aca="true" t="shared" si="6" ref="BI9:BI30">BC9+BF9</f>
        <v>0</v>
      </c>
      <c r="BJ9" s="230" t="s">
        <v>146</v>
      </c>
      <c r="BK9" s="233" t="s">
        <v>145</v>
      </c>
      <c r="BL9" s="230">
        <f>BL11+BL13</f>
        <v>0</v>
      </c>
      <c r="BM9" s="426" t="s">
        <v>146</v>
      </c>
      <c r="BN9" s="244"/>
      <c r="BO9" s="228"/>
    </row>
    <row r="10" spans="1:67" s="245" customFormat="1" ht="15.75" customHeight="1" thickBot="1">
      <c r="A10" s="614"/>
      <c r="B10" s="707"/>
      <c r="C10" s="236"/>
      <c r="D10" s="237">
        <f t="shared" si="0"/>
        <v>17120.785001</v>
      </c>
      <c r="E10" s="237"/>
      <c r="F10" s="238"/>
      <c r="G10" s="237">
        <f>G12+G14</f>
        <v>4660.5245</v>
      </c>
      <c r="H10" s="239"/>
      <c r="I10" s="237"/>
      <c r="J10" s="237">
        <f>J12+J14</f>
        <v>36.261601</v>
      </c>
      <c r="K10" s="237"/>
      <c r="L10" s="238"/>
      <c r="M10" s="237">
        <f t="shared" si="1"/>
        <v>4696.786101000001</v>
      </c>
      <c r="N10" s="237"/>
      <c r="O10" s="240"/>
      <c r="P10" s="237">
        <f>P12+P14</f>
        <v>12423.9989</v>
      </c>
      <c r="Q10" s="241"/>
      <c r="R10" s="246"/>
      <c r="S10" s="237">
        <f>AB10+AE10</f>
        <v>11353.328300000001</v>
      </c>
      <c r="T10" s="237"/>
      <c r="U10" s="238"/>
      <c r="V10" s="237">
        <f>V12+V14</f>
        <v>2953.63</v>
      </c>
      <c r="W10" s="239"/>
      <c r="X10" s="237"/>
      <c r="Y10" s="237">
        <f>Y12+Y14</f>
        <v>4.4489</v>
      </c>
      <c r="Z10" s="237"/>
      <c r="AA10" s="238"/>
      <c r="AB10" s="237">
        <f t="shared" si="2"/>
        <v>2958.0789</v>
      </c>
      <c r="AC10" s="237"/>
      <c r="AD10" s="240"/>
      <c r="AE10" s="237">
        <f>AE12+AE14</f>
        <v>8395.2494</v>
      </c>
      <c r="AF10" s="247"/>
      <c r="AG10" s="224"/>
      <c r="AH10" s="246"/>
      <c r="AI10" s="276"/>
      <c r="AJ10" s="275"/>
      <c r="AK10" s="237">
        <f t="shared" si="3"/>
        <v>5488.584070999999</v>
      </c>
      <c r="AL10" s="237"/>
      <c r="AM10" s="238"/>
      <c r="AN10" s="237">
        <f>AN12+AN14</f>
        <v>1619.8941</v>
      </c>
      <c r="AO10" s="239"/>
      <c r="AP10" s="237"/>
      <c r="AQ10" s="237">
        <f>AQ12+AQ14</f>
        <v>31.144271</v>
      </c>
      <c r="AR10" s="237"/>
      <c r="AS10" s="238"/>
      <c r="AT10" s="237">
        <f t="shared" si="4"/>
        <v>1651.0383709999999</v>
      </c>
      <c r="AU10" s="237"/>
      <c r="AV10" s="240"/>
      <c r="AW10" s="237">
        <f>AW12+AW14</f>
        <v>3837.5456999999997</v>
      </c>
      <c r="AX10" s="241"/>
      <c r="AY10" s="246"/>
      <c r="AZ10" s="237">
        <f t="shared" si="5"/>
        <v>84.97460000000001</v>
      </c>
      <c r="BA10" s="237"/>
      <c r="BB10" s="238"/>
      <c r="BC10" s="237">
        <f>BC12+BC14</f>
        <v>60.6304</v>
      </c>
      <c r="BD10" s="239"/>
      <c r="BE10" s="237"/>
      <c r="BF10" s="237">
        <f>BF12+BF14</f>
        <v>0</v>
      </c>
      <c r="BG10" s="237"/>
      <c r="BH10" s="238"/>
      <c r="BI10" s="237">
        <f t="shared" si="6"/>
        <v>60.6304</v>
      </c>
      <c r="BJ10" s="237"/>
      <c r="BK10" s="240"/>
      <c r="BL10" s="237">
        <f>BL12+BL14</f>
        <v>24.3442</v>
      </c>
      <c r="BM10" s="241"/>
      <c r="BN10" s="249"/>
      <c r="BO10" s="228"/>
    </row>
    <row r="11" spans="1:67" ht="15.75" customHeight="1">
      <c r="A11" s="612">
        <v>20</v>
      </c>
      <c r="B11" s="613" t="s">
        <v>171</v>
      </c>
      <c r="C11" s="272" t="s">
        <v>145</v>
      </c>
      <c r="D11" s="209">
        <f t="shared" si="0"/>
        <v>262.69129999999996</v>
      </c>
      <c r="E11" s="209" t="s">
        <v>146</v>
      </c>
      <c r="F11" s="212" t="s">
        <v>145</v>
      </c>
      <c r="G11" s="214">
        <f>V11+AN11+BC11+その４!G11+その４!V11+その４!AM11+その４!BB11+その４!BT11+その４!CI11+その４!CY11</f>
        <v>132.23</v>
      </c>
      <c r="H11" s="423" t="s">
        <v>146</v>
      </c>
      <c r="I11" s="209" t="s">
        <v>145</v>
      </c>
      <c r="J11" s="214">
        <f>Y11+AQ11+BF11+その４!J11+その４!Y11+その４!AP11+その４!BE11+その４!BW11+その４!CL11+その４!DB11</f>
        <v>0</v>
      </c>
      <c r="K11" s="209" t="s">
        <v>146</v>
      </c>
      <c r="L11" s="212" t="s">
        <v>145</v>
      </c>
      <c r="M11" s="209">
        <f t="shared" si="1"/>
        <v>132.23</v>
      </c>
      <c r="N11" s="209" t="s">
        <v>146</v>
      </c>
      <c r="O11" s="427" t="s">
        <v>145</v>
      </c>
      <c r="P11" s="214">
        <f>AE11+AW11+BL11+その４!P11+その４!AE11+その４!AV11+その４!BK11+その４!CC11+その４!CR11+その４!DH11</f>
        <v>130.4613</v>
      </c>
      <c r="Q11" s="252" t="s">
        <v>146</v>
      </c>
      <c r="R11" s="208"/>
      <c r="S11" s="209"/>
      <c r="T11" s="209"/>
      <c r="U11" s="212"/>
      <c r="V11" s="209"/>
      <c r="W11" s="209"/>
      <c r="X11" s="212"/>
      <c r="Y11" s="209"/>
      <c r="Z11" s="209"/>
      <c r="AA11" s="212"/>
      <c r="AB11" s="209">
        <f t="shared" si="2"/>
        <v>0</v>
      </c>
      <c r="AC11" s="209"/>
      <c r="AD11" s="212"/>
      <c r="AE11" s="209"/>
      <c r="AF11" s="211"/>
      <c r="AG11" s="209"/>
      <c r="AH11" s="208" t="s">
        <v>145</v>
      </c>
      <c r="AI11" s="209"/>
      <c r="AJ11" s="208" t="s">
        <v>321</v>
      </c>
      <c r="AK11" s="209">
        <f t="shared" si="3"/>
        <v>0</v>
      </c>
      <c r="AL11" s="209" t="s">
        <v>146</v>
      </c>
      <c r="AM11" s="212" t="s">
        <v>145</v>
      </c>
      <c r="AN11" s="214"/>
      <c r="AO11" s="209" t="s">
        <v>146</v>
      </c>
      <c r="AP11" s="212" t="s">
        <v>145</v>
      </c>
      <c r="AQ11" s="209"/>
      <c r="AR11" s="209" t="s">
        <v>146</v>
      </c>
      <c r="AS11" s="212" t="s">
        <v>145</v>
      </c>
      <c r="AT11" s="209">
        <f t="shared" si="4"/>
        <v>0</v>
      </c>
      <c r="AU11" s="209" t="s">
        <v>146</v>
      </c>
      <c r="AV11" s="212" t="s">
        <v>145</v>
      </c>
      <c r="AW11" s="209"/>
      <c r="AX11" s="209" t="s">
        <v>146</v>
      </c>
      <c r="AY11" s="208" t="s">
        <v>145</v>
      </c>
      <c r="AZ11" s="209">
        <f t="shared" si="5"/>
        <v>0</v>
      </c>
      <c r="BA11" s="209" t="s">
        <v>146</v>
      </c>
      <c r="BB11" s="212" t="s">
        <v>145</v>
      </c>
      <c r="BC11" s="209"/>
      <c r="BD11" s="209" t="s">
        <v>146</v>
      </c>
      <c r="BE11" s="212" t="s">
        <v>145</v>
      </c>
      <c r="BF11" s="209"/>
      <c r="BG11" s="209" t="s">
        <v>146</v>
      </c>
      <c r="BH11" s="212" t="s">
        <v>145</v>
      </c>
      <c r="BI11" s="209">
        <f t="shared" si="6"/>
        <v>0</v>
      </c>
      <c r="BJ11" s="209" t="s">
        <v>146</v>
      </c>
      <c r="BK11" s="212" t="s">
        <v>145</v>
      </c>
      <c r="BL11" s="209"/>
      <c r="BM11" s="209" t="s">
        <v>146</v>
      </c>
      <c r="BN11" s="570">
        <v>20</v>
      </c>
      <c r="BO11" s="199"/>
    </row>
    <row r="12" spans="1:67" ht="15.75" customHeight="1">
      <c r="A12" s="580"/>
      <c r="B12" s="611"/>
      <c r="C12" s="253"/>
      <c r="D12" s="254">
        <f t="shared" si="0"/>
        <v>7964.247603</v>
      </c>
      <c r="E12" s="254"/>
      <c r="F12" s="255"/>
      <c r="G12" s="254">
        <f>V12+AN12+BC12+その４!G12+その４!V12+その４!AM12+その４!BB12+その４!BT12+その４!CI12+その４!CY12</f>
        <v>4262.4681</v>
      </c>
      <c r="H12" s="428"/>
      <c r="I12" s="254"/>
      <c r="J12" s="254">
        <f>Y12+AQ12+BF12+その４!J12+その４!Y12+その４!AP12+その４!BE12+その４!BW12+その４!CL12+その４!DB12</f>
        <v>27.747603</v>
      </c>
      <c r="K12" s="254"/>
      <c r="L12" s="255"/>
      <c r="M12" s="254">
        <f t="shared" si="1"/>
        <v>4290.215703</v>
      </c>
      <c r="N12" s="254"/>
      <c r="O12" s="431"/>
      <c r="P12" s="254">
        <f>AE12+AW12+BL12+その４!P12+その４!AE12+その４!AV12+その４!BK12+その４!CC12+その４!CR12+その４!DH12</f>
        <v>3674.0319000000004</v>
      </c>
      <c r="Q12" s="263"/>
      <c r="R12" s="264"/>
      <c r="S12" s="254">
        <f>AB12+AE12</f>
        <v>4159.8655</v>
      </c>
      <c r="T12" s="254"/>
      <c r="U12" s="255"/>
      <c r="V12" s="254">
        <v>2769.21</v>
      </c>
      <c r="W12" s="254"/>
      <c r="X12" s="255"/>
      <c r="Y12" s="254"/>
      <c r="Z12" s="254"/>
      <c r="AA12" s="255"/>
      <c r="AB12" s="254">
        <f t="shared" si="2"/>
        <v>2769.21</v>
      </c>
      <c r="AC12" s="254"/>
      <c r="AD12" s="255"/>
      <c r="AE12" s="710">
        <v>1390.6555</v>
      </c>
      <c r="AF12" s="265"/>
      <c r="AG12" s="209"/>
      <c r="AH12" s="208"/>
      <c r="AI12" s="209"/>
      <c r="AJ12" s="264"/>
      <c r="AK12" s="254">
        <f t="shared" si="3"/>
        <v>3560.293073</v>
      </c>
      <c r="AL12" s="254"/>
      <c r="AM12" s="255"/>
      <c r="AN12" s="254">
        <v>1422.8181</v>
      </c>
      <c r="AO12" s="254"/>
      <c r="AP12" s="255"/>
      <c r="AQ12" s="254">
        <f>5.142173+21.937</f>
        <v>27.079173</v>
      </c>
      <c r="AR12" s="254"/>
      <c r="AS12" s="255"/>
      <c r="AT12" s="254">
        <f t="shared" si="4"/>
        <v>1449.897273</v>
      </c>
      <c r="AU12" s="254"/>
      <c r="AV12" s="255"/>
      <c r="AW12" s="710">
        <v>2110.3958</v>
      </c>
      <c r="AX12" s="265"/>
      <c r="AY12" s="264"/>
      <c r="AZ12" s="286">
        <f t="shared" si="5"/>
        <v>71.5631</v>
      </c>
      <c r="BA12" s="254"/>
      <c r="BB12" s="255"/>
      <c r="BC12" s="254">
        <v>59.64</v>
      </c>
      <c r="BD12" s="254"/>
      <c r="BE12" s="255"/>
      <c r="BF12" s="254"/>
      <c r="BG12" s="254"/>
      <c r="BH12" s="255"/>
      <c r="BI12" s="254">
        <f t="shared" si="6"/>
        <v>59.64</v>
      </c>
      <c r="BJ12" s="254"/>
      <c r="BK12" s="255"/>
      <c r="BL12" s="286">
        <v>11.9231</v>
      </c>
      <c r="BM12" s="265"/>
      <c r="BN12" s="571"/>
      <c r="BO12" s="199"/>
    </row>
    <row r="13" spans="1:67" ht="15.75" customHeight="1">
      <c r="A13" s="579">
        <v>21</v>
      </c>
      <c r="B13" s="578" t="s">
        <v>172</v>
      </c>
      <c r="C13" s="272" t="s">
        <v>145</v>
      </c>
      <c r="D13" s="209">
        <f t="shared" si="0"/>
        <v>1021.0373</v>
      </c>
      <c r="E13" s="209" t="s">
        <v>146</v>
      </c>
      <c r="F13" s="212" t="s">
        <v>145</v>
      </c>
      <c r="G13" s="209">
        <f>V13+AN13+BC13+その４!G13+その４!V13+その４!AM13+その４!BB13+その４!BT13+その４!CI13+その４!CY13</f>
        <v>0</v>
      </c>
      <c r="H13" s="423" t="s">
        <v>146</v>
      </c>
      <c r="I13" s="209" t="s">
        <v>145</v>
      </c>
      <c r="J13" s="209">
        <f>Y13+AQ13+BF13+その４!J13+その４!Y13+その４!AP13+その４!BE13+その４!BW13+その４!CL13+その４!DB13</f>
        <v>0</v>
      </c>
      <c r="K13" s="209" t="s">
        <v>146</v>
      </c>
      <c r="L13" s="212" t="s">
        <v>145</v>
      </c>
      <c r="M13" s="209">
        <f t="shared" si="1"/>
        <v>0</v>
      </c>
      <c r="N13" s="209" t="s">
        <v>146</v>
      </c>
      <c r="O13" s="427" t="s">
        <v>145</v>
      </c>
      <c r="P13" s="209">
        <f>AE13+AW13+BL13+その４!P13+その４!AE13+その４!AV13+その４!BK13+その４!CC13+その４!CR13+その４!DH13</f>
        <v>1021.0373</v>
      </c>
      <c r="Q13" s="252" t="s">
        <v>146</v>
      </c>
      <c r="R13" s="208"/>
      <c r="S13" s="209"/>
      <c r="T13" s="209"/>
      <c r="U13" s="212"/>
      <c r="V13" s="209"/>
      <c r="W13" s="209"/>
      <c r="X13" s="212"/>
      <c r="Y13" s="209"/>
      <c r="Z13" s="209"/>
      <c r="AA13" s="212"/>
      <c r="AB13" s="209">
        <f t="shared" si="2"/>
        <v>0</v>
      </c>
      <c r="AC13" s="209"/>
      <c r="AD13" s="212"/>
      <c r="AE13" s="209"/>
      <c r="AF13" s="211"/>
      <c r="AG13" s="209"/>
      <c r="AH13" s="208" t="s">
        <v>145</v>
      </c>
      <c r="AI13" s="209"/>
      <c r="AJ13" s="208" t="s">
        <v>318</v>
      </c>
      <c r="AK13" s="209">
        <f t="shared" si="3"/>
        <v>0</v>
      </c>
      <c r="AL13" s="209" t="s">
        <v>146</v>
      </c>
      <c r="AM13" s="212" t="s">
        <v>145</v>
      </c>
      <c r="AN13" s="209"/>
      <c r="AO13" s="209" t="s">
        <v>146</v>
      </c>
      <c r="AP13" s="212" t="s">
        <v>145</v>
      </c>
      <c r="AQ13" s="209"/>
      <c r="AR13" s="209" t="s">
        <v>146</v>
      </c>
      <c r="AS13" s="212" t="s">
        <v>145</v>
      </c>
      <c r="AT13" s="209">
        <f t="shared" si="4"/>
        <v>0</v>
      </c>
      <c r="AU13" s="209" t="s">
        <v>146</v>
      </c>
      <c r="AV13" s="212" t="s">
        <v>145</v>
      </c>
      <c r="AW13" s="209"/>
      <c r="AX13" s="209" t="s">
        <v>146</v>
      </c>
      <c r="AY13" s="208" t="s">
        <v>145</v>
      </c>
      <c r="AZ13" s="209">
        <f t="shared" si="5"/>
        <v>0</v>
      </c>
      <c r="BA13" s="209" t="s">
        <v>146</v>
      </c>
      <c r="BB13" s="212" t="s">
        <v>145</v>
      </c>
      <c r="BC13" s="209"/>
      <c r="BD13" s="209" t="s">
        <v>146</v>
      </c>
      <c r="BE13" s="212" t="s">
        <v>145</v>
      </c>
      <c r="BF13" s="209"/>
      <c r="BG13" s="209" t="s">
        <v>146</v>
      </c>
      <c r="BH13" s="212" t="s">
        <v>145</v>
      </c>
      <c r="BI13" s="209">
        <f t="shared" si="6"/>
        <v>0</v>
      </c>
      <c r="BJ13" s="209" t="s">
        <v>146</v>
      </c>
      <c r="BK13" s="212" t="s">
        <v>145</v>
      </c>
      <c r="BL13" s="209"/>
      <c r="BM13" s="209" t="s">
        <v>146</v>
      </c>
      <c r="BN13" s="584">
        <v>21</v>
      </c>
      <c r="BO13" s="199"/>
    </row>
    <row r="14" spans="1:67" ht="15.75" customHeight="1" thickBot="1">
      <c r="A14" s="580"/>
      <c r="B14" s="709"/>
      <c r="C14" s="472"/>
      <c r="D14" s="209">
        <f t="shared" si="0"/>
        <v>9156.537398</v>
      </c>
      <c r="E14" s="209"/>
      <c r="F14" s="212"/>
      <c r="G14" s="209">
        <f>V14+AN14+BC14+その４!G14+その４!V14+その４!AM14+その４!BB14+その４!BT14+その４!CI14+その４!CY14</f>
        <v>398.0564</v>
      </c>
      <c r="H14" s="423"/>
      <c r="I14" s="209"/>
      <c r="J14" s="209">
        <f>Y14+AQ14+BF14+その４!J14+その４!Y14+その４!AP14+その４!BE14+その４!BW14+その４!CL14+その４!DB14</f>
        <v>8.513998</v>
      </c>
      <c r="K14" s="209"/>
      <c r="L14" s="212"/>
      <c r="M14" s="209">
        <f t="shared" si="1"/>
        <v>406.570398</v>
      </c>
      <c r="N14" s="209"/>
      <c r="O14" s="432"/>
      <c r="P14" s="209">
        <f>AE14+AW14+BL14+その４!P14+その４!AE14+その４!AV14+その４!BK14+その４!CC14+その４!CR14+その４!DH14</f>
        <v>8749.967</v>
      </c>
      <c r="Q14" s="466"/>
      <c r="R14" s="208"/>
      <c r="S14" s="209">
        <f>AB14+AE14</f>
        <v>7193.4628</v>
      </c>
      <c r="T14" s="209"/>
      <c r="U14" s="212"/>
      <c r="V14" s="209">
        <v>184.42</v>
      </c>
      <c r="W14" s="209"/>
      <c r="X14" s="212"/>
      <c r="Y14" s="209">
        <f>4.4489</f>
        <v>4.4489</v>
      </c>
      <c r="Z14" s="209"/>
      <c r="AA14" s="212"/>
      <c r="AB14" s="209">
        <f t="shared" si="2"/>
        <v>188.8689</v>
      </c>
      <c r="AC14" s="209"/>
      <c r="AD14" s="212"/>
      <c r="AE14" s="209">
        <v>7004.5939</v>
      </c>
      <c r="AF14" s="211"/>
      <c r="AG14" s="209"/>
      <c r="AH14" s="208"/>
      <c r="AI14" s="209"/>
      <c r="AJ14" s="208"/>
      <c r="AK14" s="209">
        <f t="shared" si="3"/>
        <v>1928.290998</v>
      </c>
      <c r="AL14" s="209"/>
      <c r="AM14" s="212"/>
      <c r="AN14" s="209">
        <v>197.076</v>
      </c>
      <c r="AO14" s="209"/>
      <c r="AP14" s="212"/>
      <c r="AQ14" s="209">
        <f>2.855292+1.209806</f>
        <v>4.065098</v>
      </c>
      <c r="AR14" s="209"/>
      <c r="AS14" s="212"/>
      <c r="AT14" s="209">
        <f t="shared" si="4"/>
        <v>201.141098</v>
      </c>
      <c r="AU14" s="209"/>
      <c r="AV14" s="212"/>
      <c r="AW14" s="708">
        <v>1727.1499</v>
      </c>
      <c r="AX14" s="209"/>
      <c r="AY14" s="208"/>
      <c r="AZ14" s="209">
        <f t="shared" si="5"/>
        <v>13.411499999999998</v>
      </c>
      <c r="BA14" s="209"/>
      <c r="BB14" s="212"/>
      <c r="BC14" s="209">
        <v>0.9904</v>
      </c>
      <c r="BD14" s="209"/>
      <c r="BE14" s="212"/>
      <c r="BF14" s="209"/>
      <c r="BG14" s="209"/>
      <c r="BH14" s="212"/>
      <c r="BI14" s="209">
        <f t="shared" si="6"/>
        <v>0.9904</v>
      </c>
      <c r="BJ14" s="209"/>
      <c r="BK14" s="212"/>
      <c r="BL14" s="209">
        <v>12.4211</v>
      </c>
      <c r="BM14" s="209"/>
      <c r="BN14" s="609"/>
      <c r="BO14" s="199"/>
    </row>
    <row r="15" spans="1:67" s="442" customFormat="1" ht="15.75" customHeight="1">
      <c r="A15" s="569"/>
      <c r="B15" s="568" t="s">
        <v>294</v>
      </c>
      <c r="C15" s="271" t="s">
        <v>145</v>
      </c>
      <c r="D15" s="457">
        <f t="shared" si="0"/>
        <v>58.35589999999999</v>
      </c>
      <c r="E15" s="230" t="s">
        <v>146</v>
      </c>
      <c r="F15" s="232" t="s">
        <v>145</v>
      </c>
      <c r="G15" s="457">
        <f>G17+G19+G21+G23+G25+G27+G29</f>
        <v>0</v>
      </c>
      <c r="H15" s="231" t="s">
        <v>146</v>
      </c>
      <c r="I15" s="230" t="s">
        <v>145</v>
      </c>
      <c r="J15" s="457">
        <f>J17+J19+J21+J23+J25+J27+J29</f>
        <v>0.2666</v>
      </c>
      <c r="K15" s="230" t="s">
        <v>146</v>
      </c>
      <c r="L15" s="232" t="s">
        <v>145</v>
      </c>
      <c r="M15" s="457">
        <f t="shared" si="1"/>
        <v>0.2666</v>
      </c>
      <c r="N15" s="230" t="s">
        <v>146</v>
      </c>
      <c r="O15" s="223" t="s">
        <v>145</v>
      </c>
      <c r="P15" s="457">
        <f>P17+P19+P21+P23+P25+P27+P29</f>
        <v>58.089299999999994</v>
      </c>
      <c r="Q15" s="224" t="s">
        <v>146</v>
      </c>
      <c r="R15" s="460"/>
      <c r="S15" s="457"/>
      <c r="T15" s="457"/>
      <c r="U15" s="459"/>
      <c r="V15" s="457">
        <f>V17+V19+V21+V23+V25+V27+V29</f>
        <v>0</v>
      </c>
      <c r="W15" s="457"/>
      <c r="X15" s="459"/>
      <c r="Y15" s="457">
        <f>Y17+Y19+Y21+Y23+Y25+Y27+Y29</f>
        <v>0</v>
      </c>
      <c r="Z15" s="457"/>
      <c r="AA15" s="459"/>
      <c r="AB15" s="457"/>
      <c r="AC15" s="457"/>
      <c r="AD15" s="459"/>
      <c r="AE15" s="457">
        <f>AE17+AE19+AE21+AE23+AE25+AE27+AE29</f>
        <v>0</v>
      </c>
      <c r="AF15" s="458"/>
      <c r="AG15" s="444"/>
      <c r="AH15" s="469"/>
      <c r="AI15" s="444"/>
      <c r="AJ15" s="434" t="s">
        <v>322</v>
      </c>
      <c r="AK15" s="457">
        <f t="shared" si="3"/>
        <v>0</v>
      </c>
      <c r="AL15" s="230" t="s">
        <v>146</v>
      </c>
      <c r="AM15" s="232" t="s">
        <v>145</v>
      </c>
      <c r="AN15" s="457">
        <f>AN17+AN19+AN21+AN23+AN25+AN27+AN29</f>
        <v>0</v>
      </c>
      <c r="AO15" s="231" t="s">
        <v>146</v>
      </c>
      <c r="AP15" s="230" t="s">
        <v>145</v>
      </c>
      <c r="AQ15" s="457">
        <f>AQ17+AQ19+AQ21+AQ23+AQ25+AQ27+AQ29</f>
        <v>0</v>
      </c>
      <c r="AR15" s="230" t="s">
        <v>146</v>
      </c>
      <c r="AS15" s="232" t="s">
        <v>145</v>
      </c>
      <c r="AT15" s="457">
        <f t="shared" si="4"/>
        <v>0</v>
      </c>
      <c r="AU15" s="230" t="s">
        <v>146</v>
      </c>
      <c r="AV15" s="233" t="s">
        <v>145</v>
      </c>
      <c r="AW15" s="457">
        <f>AW17+AW19+AW21+AW23+AW25+AW27+AW29</f>
        <v>0</v>
      </c>
      <c r="AX15" s="426" t="s">
        <v>146</v>
      </c>
      <c r="AY15" s="229" t="s">
        <v>145</v>
      </c>
      <c r="AZ15" s="457">
        <f t="shared" si="5"/>
        <v>0</v>
      </c>
      <c r="BA15" s="230" t="s">
        <v>146</v>
      </c>
      <c r="BB15" s="232" t="s">
        <v>145</v>
      </c>
      <c r="BC15" s="457">
        <f>BC17+BC19+BC21+BC23+BC25+BC27+BC29</f>
        <v>0</v>
      </c>
      <c r="BD15" s="231" t="s">
        <v>146</v>
      </c>
      <c r="BE15" s="230" t="s">
        <v>145</v>
      </c>
      <c r="BF15" s="457">
        <f>BF17+BF19+BF21+BF23+BF25+BF27+BF29</f>
        <v>0</v>
      </c>
      <c r="BG15" s="230" t="s">
        <v>146</v>
      </c>
      <c r="BH15" s="232" t="s">
        <v>145</v>
      </c>
      <c r="BI15" s="457">
        <f t="shared" si="6"/>
        <v>0</v>
      </c>
      <c r="BJ15" s="230" t="s">
        <v>146</v>
      </c>
      <c r="BK15" s="233" t="s">
        <v>145</v>
      </c>
      <c r="BL15" s="457">
        <f>BL17+BL19+BL21+BL23+BL25+BL27+BL29</f>
        <v>0</v>
      </c>
      <c r="BM15" s="426" t="s">
        <v>146</v>
      </c>
      <c r="BN15" s="471"/>
      <c r="BO15" s="200"/>
    </row>
    <row r="16" spans="1:67" s="442" customFormat="1" ht="15.75" customHeight="1" thickBot="1">
      <c r="A16" s="638"/>
      <c r="B16" s="631"/>
      <c r="C16" s="470"/>
      <c r="D16" s="446">
        <f t="shared" si="0"/>
        <v>276.67910000000006</v>
      </c>
      <c r="E16" s="446"/>
      <c r="F16" s="447"/>
      <c r="G16" s="446">
        <f>G18+G20+G22+G24+G26+G28+G30</f>
        <v>0</v>
      </c>
      <c r="H16" s="453"/>
      <c r="I16" s="446"/>
      <c r="J16" s="446">
        <f>J18+J20+J22+J24+J26+J28+J30</f>
        <v>1.6633999999999998</v>
      </c>
      <c r="K16" s="446"/>
      <c r="L16" s="447"/>
      <c r="M16" s="446">
        <f t="shared" si="1"/>
        <v>1.6633999999999998</v>
      </c>
      <c r="N16" s="446"/>
      <c r="O16" s="452"/>
      <c r="P16" s="446">
        <f>P18+P20+P22+P24+P26+P28+P30</f>
        <v>275.01570000000004</v>
      </c>
      <c r="Q16" s="451"/>
      <c r="R16" s="449"/>
      <c r="S16" s="446"/>
      <c r="T16" s="446"/>
      <c r="U16" s="447"/>
      <c r="V16" s="446">
        <f>V18+V20+V22+V24+V26+V28+V30</f>
        <v>0</v>
      </c>
      <c r="W16" s="446"/>
      <c r="X16" s="447"/>
      <c r="Y16" s="446">
        <f>Y18+Y20+Y22+Y24+Y26+Y28+Y30</f>
        <v>0</v>
      </c>
      <c r="Z16" s="446"/>
      <c r="AA16" s="447"/>
      <c r="AB16" s="446"/>
      <c r="AC16" s="446"/>
      <c r="AD16" s="447"/>
      <c r="AE16" s="446">
        <f>AE18+AE20+AE22+AE24+AE26+AE28+AE30</f>
        <v>0</v>
      </c>
      <c r="AF16" s="450"/>
      <c r="AG16" s="444"/>
      <c r="AH16" s="469"/>
      <c r="AI16" s="444"/>
      <c r="AJ16" s="449"/>
      <c r="AK16" s="446">
        <f t="shared" si="3"/>
        <v>186.948</v>
      </c>
      <c r="AL16" s="446"/>
      <c r="AM16" s="447"/>
      <c r="AN16" s="446">
        <f>AN18+AN20+AN22+AN24+AN26+AN28+AN30</f>
        <v>0</v>
      </c>
      <c r="AO16" s="446"/>
      <c r="AP16" s="447"/>
      <c r="AQ16" s="448">
        <f>AQ18+AQ20+AQ22+AQ24+AQ26+AQ28+AQ30</f>
        <v>0.3272</v>
      </c>
      <c r="AR16" s="446"/>
      <c r="AS16" s="447"/>
      <c r="AT16" s="446">
        <f t="shared" si="4"/>
        <v>0.3272</v>
      </c>
      <c r="AU16" s="446"/>
      <c r="AV16" s="447"/>
      <c r="AW16" s="446">
        <f>AW18+AW20+AW22+AW24+AW26+AW28+AW30</f>
        <v>186.6208</v>
      </c>
      <c r="AX16" s="446"/>
      <c r="AY16" s="449"/>
      <c r="AZ16" s="446">
        <f t="shared" si="5"/>
        <v>2</v>
      </c>
      <c r="BA16" s="446"/>
      <c r="BB16" s="447"/>
      <c r="BC16" s="446">
        <f>BC18+BC20+BC22+BC24+BC26+BC28+BC30</f>
        <v>0</v>
      </c>
      <c r="BD16" s="446"/>
      <c r="BE16" s="447"/>
      <c r="BF16" s="446">
        <f>BF18+BF20+BF22+BF24+BF26+BF28+BF30</f>
        <v>0</v>
      </c>
      <c r="BG16" s="446"/>
      <c r="BH16" s="447"/>
      <c r="BI16" s="446">
        <f t="shared" si="6"/>
        <v>0</v>
      </c>
      <c r="BJ16" s="446"/>
      <c r="BK16" s="447"/>
      <c r="BL16" s="446">
        <f>BL18+BL20+BL22+BL24+BL26+BL28+BL30</f>
        <v>2</v>
      </c>
      <c r="BM16" s="446"/>
      <c r="BN16" s="468"/>
      <c r="BO16" s="200"/>
    </row>
    <row r="17" spans="1:67" ht="15.75" customHeight="1">
      <c r="A17" s="579">
        <v>22</v>
      </c>
      <c r="B17" s="578" t="s">
        <v>173</v>
      </c>
      <c r="C17" s="272" t="s">
        <v>145</v>
      </c>
      <c r="D17" s="209">
        <f t="shared" si="0"/>
        <v>45.16459999999999</v>
      </c>
      <c r="E17" s="209" t="s">
        <v>146</v>
      </c>
      <c r="F17" s="212" t="s">
        <v>145</v>
      </c>
      <c r="G17" s="209">
        <f>V17+AN17+BC17+その４!G17+その４!V17+その４!AM17+その４!BB17+その４!BT17+その４!CI17+その４!CY17</f>
        <v>0</v>
      </c>
      <c r="H17" s="423" t="s">
        <v>146</v>
      </c>
      <c r="I17" s="209" t="s">
        <v>145</v>
      </c>
      <c r="J17" s="209">
        <f>Y17+AQ17+BF17+その４!J17+その４!Y17+その４!AP17+その４!BE17+その４!BW17+その４!CL17+その４!DB17</f>
        <v>0.2255</v>
      </c>
      <c r="K17" s="209" t="s">
        <v>146</v>
      </c>
      <c r="L17" s="212" t="s">
        <v>145</v>
      </c>
      <c r="M17" s="209">
        <f t="shared" si="1"/>
        <v>0.2255</v>
      </c>
      <c r="N17" s="209" t="s">
        <v>146</v>
      </c>
      <c r="O17" s="427" t="s">
        <v>145</v>
      </c>
      <c r="P17" s="209">
        <f>AE17+AW17+BL17+その４!P17+その４!AE17+その４!AV17+その４!BK17+その４!CC17+その４!CR17+その４!DH17</f>
        <v>44.939099999999996</v>
      </c>
      <c r="Q17" s="252" t="s">
        <v>146</v>
      </c>
      <c r="R17" s="208"/>
      <c r="S17" s="209"/>
      <c r="T17" s="209"/>
      <c r="U17" s="212"/>
      <c r="V17" s="209"/>
      <c r="W17" s="209"/>
      <c r="X17" s="212"/>
      <c r="Y17" s="209"/>
      <c r="Z17" s="209"/>
      <c r="AA17" s="212"/>
      <c r="AB17" s="209">
        <f aca="true" t="shared" si="7" ref="AB17:AB30">V17+Y17</f>
        <v>0</v>
      </c>
      <c r="AC17" s="209"/>
      <c r="AD17" s="212"/>
      <c r="AE17" s="209"/>
      <c r="AF17" s="211"/>
      <c r="AG17" s="209"/>
      <c r="AH17" s="261" t="s">
        <v>145</v>
      </c>
      <c r="AI17" s="209"/>
      <c r="AJ17" s="208" t="s">
        <v>322</v>
      </c>
      <c r="AK17" s="209">
        <f t="shared" si="3"/>
        <v>0</v>
      </c>
      <c r="AL17" s="209" t="s">
        <v>146</v>
      </c>
      <c r="AM17" s="212" t="s">
        <v>145</v>
      </c>
      <c r="AN17" s="209"/>
      <c r="AO17" s="209" t="s">
        <v>146</v>
      </c>
      <c r="AP17" s="212" t="s">
        <v>145</v>
      </c>
      <c r="AQ17" s="209"/>
      <c r="AR17" s="209" t="s">
        <v>146</v>
      </c>
      <c r="AS17" s="212" t="s">
        <v>145</v>
      </c>
      <c r="AT17" s="209">
        <f t="shared" si="4"/>
        <v>0</v>
      </c>
      <c r="AU17" s="209" t="s">
        <v>146</v>
      </c>
      <c r="AV17" s="212" t="s">
        <v>145</v>
      </c>
      <c r="AW17" s="209"/>
      <c r="AX17" s="209" t="s">
        <v>146</v>
      </c>
      <c r="AY17" s="208" t="s">
        <v>145</v>
      </c>
      <c r="AZ17" s="209">
        <f t="shared" si="5"/>
        <v>0</v>
      </c>
      <c r="BA17" s="209" t="s">
        <v>146</v>
      </c>
      <c r="BB17" s="212" t="s">
        <v>145</v>
      </c>
      <c r="BC17" s="209"/>
      <c r="BD17" s="209" t="s">
        <v>146</v>
      </c>
      <c r="BE17" s="212" t="s">
        <v>145</v>
      </c>
      <c r="BF17" s="209"/>
      <c r="BG17" s="209" t="s">
        <v>146</v>
      </c>
      <c r="BH17" s="212" t="s">
        <v>145</v>
      </c>
      <c r="BI17" s="209">
        <f t="shared" si="6"/>
        <v>0</v>
      </c>
      <c r="BJ17" s="209" t="s">
        <v>146</v>
      </c>
      <c r="BK17" s="212" t="s">
        <v>145</v>
      </c>
      <c r="BL17" s="209"/>
      <c r="BM17" s="209" t="s">
        <v>146</v>
      </c>
      <c r="BN17" s="609">
        <v>22</v>
      </c>
      <c r="BO17" s="199"/>
    </row>
    <row r="18" spans="1:67" ht="15.75" customHeight="1">
      <c r="A18" s="580"/>
      <c r="B18" s="611"/>
      <c r="C18" s="274"/>
      <c r="D18" s="254">
        <f t="shared" si="0"/>
        <v>235.1289</v>
      </c>
      <c r="E18" s="254"/>
      <c r="F18" s="255"/>
      <c r="G18" s="254">
        <f>V18+AN18+BC18+その４!G18+その４!V18+その４!AM18+その４!BB18+その４!BT18+その４!CI18+その４!CY18</f>
        <v>0</v>
      </c>
      <c r="H18" s="428"/>
      <c r="I18" s="254"/>
      <c r="J18" s="254">
        <f>Y18+AQ18+BF18+その４!J18+その４!Y18+その４!AP18+その４!BE18+その４!BW18+その４!CL18+その４!DB18</f>
        <v>1.6342999999999999</v>
      </c>
      <c r="K18" s="254"/>
      <c r="L18" s="255"/>
      <c r="M18" s="254">
        <f t="shared" si="1"/>
        <v>1.6342999999999999</v>
      </c>
      <c r="N18" s="254"/>
      <c r="O18" s="431"/>
      <c r="P18" s="254">
        <f>AE18+AW18+BL18+その４!P18+その４!AE18+その４!AV18+その４!BK18+その４!CC18+その４!CR18+その４!DH18</f>
        <v>233.4946</v>
      </c>
      <c r="Q18" s="263"/>
      <c r="R18" s="264"/>
      <c r="S18" s="254">
        <f>AB18+AE18</f>
        <v>0</v>
      </c>
      <c r="T18" s="254"/>
      <c r="U18" s="255"/>
      <c r="V18" s="254"/>
      <c r="W18" s="254"/>
      <c r="X18" s="255"/>
      <c r="Y18" s="254"/>
      <c r="Z18" s="254"/>
      <c r="AA18" s="255"/>
      <c r="AB18" s="254">
        <f t="shared" si="7"/>
        <v>0</v>
      </c>
      <c r="AC18" s="254"/>
      <c r="AD18" s="255"/>
      <c r="AE18" s="254"/>
      <c r="AF18" s="265"/>
      <c r="AG18" s="209"/>
      <c r="AH18" s="264"/>
      <c r="AI18" s="209"/>
      <c r="AJ18" s="264"/>
      <c r="AK18" s="254">
        <f t="shared" si="3"/>
        <v>186.948</v>
      </c>
      <c r="AL18" s="254"/>
      <c r="AM18" s="255"/>
      <c r="AN18" s="254"/>
      <c r="AO18" s="254"/>
      <c r="AP18" s="255"/>
      <c r="AQ18" s="256">
        <f>0.3272</f>
        <v>0.3272</v>
      </c>
      <c r="AR18" s="254"/>
      <c r="AS18" s="255"/>
      <c r="AT18" s="254">
        <f t="shared" si="4"/>
        <v>0.3272</v>
      </c>
      <c r="AU18" s="254"/>
      <c r="AV18" s="255"/>
      <c r="AW18" s="254">
        <v>186.6208</v>
      </c>
      <c r="AX18" s="254"/>
      <c r="AY18" s="264"/>
      <c r="AZ18" s="254">
        <f t="shared" si="5"/>
        <v>2</v>
      </c>
      <c r="BA18" s="254"/>
      <c r="BB18" s="255"/>
      <c r="BC18" s="254"/>
      <c r="BD18" s="254"/>
      <c r="BE18" s="255"/>
      <c r="BF18" s="254"/>
      <c r="BG18" s="254"/>
      <c r="BH18" s="255"/>
      <c r="BI18" s="254">
        <f t="shared" si="6"/>
        <v>0</v>
      </c>
      <c r="BJ18" s="254"/>
      <c r="BK18" s="255"/>
      <c r="BL18" s="254">
        <v>2</v>
      </c>
      <c r="BM18" s="254"/>
      <c r="BN18" s="571"/>
      <c r="BO18" s="199"/>
    </row>
    <row r="19" spans="1:67" ht="15.75" customHeight="1">
      <c r="A19" s="579">
        <f>A17+1</f>
        <v>23</v>
      </c>
      <c r="B19" s="578" t="s">
        <v>174</v>
      </c>
      <c r="C19" s="273" t="s">
        <v>145</v>
      </c>
      <c r="D19" s="209">
        <f t="shared" si="0"/>
        <v>13.1913</v>
      </c>
      <c r="E19" s="258" t="s">
        <v>146</v>
      </c>
      <c r="F19" s="259" t="s">
        <v>145</v>
      </c>
      <c r="G19" s="209">
        <f>V19+AN19+BC19+その４!G19+その４!V19+その４!AM19+その４!BB19+その４!BT19+その４!CI19+その４!CY19</f>
        <v>0</v>
      </c>
      <c r="H19" s="429" t="s">
        <v>146</v>
      </c>
      <c r="I19" s="258" t="s">
        <v>145</v>
      </c>
      <c r="J19" s="209">
        <f>Y19+AQ19+BF19+その４!J19+その４!Y19+その４!AP19+その４!BE19+その４!BW19+その４!CL19+その４!DB19</f>
        <v>0.0411</v>
      </c>
      <c r="K19" s="258" t="s">
        <v>146</v>
      </c>
      <c r="L19" s="259" t="s">
        <v>145</v>
      </c>
      <c r="M19" s="209">
        <f t="shared" si="1"/>
        <v>0.0411</v>
      </c>
      <c r="N19" s="258" t="s">
        <v>146</v>
      </c>
      <c r="O19" s="430" t="s">
        <v>145</v>
      </c>
      <c r="P19" s="209">
        <f>AE19+AW19+BL19+その４!P19+その４!AE19+その４!AV19+その４!BK19+その４!CC19+その４!CR19+その４!DH19</f>
        <v>13.1502</v>
      </c>
      <c r="Q19" s="260" t="s">
        <v>146</v>
      </c>
      <c r="R19" s="261"/>
      <c r="S19" s="209"/>
      <c r="T19" s="258"/>
      <c r="U19" s="259"/>
      <c r="V19" s="258"/>
      <c r="W19" s="258"/>
      <c r="X19" s="259"/>
      <c r="Y19" s="258"/>
      <c r="Z19" s="258"/>
      <c r="AA19" s="259"/>
      <c r="AB19" s="209">
        <f t="shared" si="7"/>
        <v>0</v>
      </c>
      <c r="AC19" s="258"/>
      <c r="AD19" s="259"/>
      <c r="AE19" s="258"/>
      <c r="AF19" s="262"/>
      <c r="AG19" s="209"/>
      <c r="AH19" s="261" t="s">
        <v>145</v>
      </c>
      <c r="AI19" s="209"/>
      <c r="AJ19" s="261" t="s">
        <v>317</v>
      </c>
      <c r="AK19" s="209">
        <f t="shared" si="3"/>
        <v>0</v>
      </c>
      <c r="AL19" s="258" t="s">
        <v>146</v>
      </c>
      <c r="AM19" s="259" t="s">
        <v>145</v>
      </c>
      <c r="AN19" s="258"/>
      <c r="AO19" s="258" t="s">
        <v>146</v>
      </c>
      <c r="AP19" s="259" t="s">
        <v>145</v>
      </c>
      <c r="AQ19" s="258"/>
      <c r="AR19" s="258" t="s">
        <v>146</v>
      </c>
      <c r="AS19" s="259" t="s">
        <v>145</v>
      </c>
      <c r="AT19" s="209">
        <f t="shared" si="4"/>
        <v>0</v>
      </c>
      <c r="AU19" s="258" t="s">
        <v>146</v>
      </c>
      <c r="AV19" s="259" t="s">
        <v>145</v>
      </c>
      <c r="AW19" s="258"/>
      <c r="AX19" s="258" t="s">
        <v>146</v>
      </c>
      <c r="AY19" s="261" t="s">
        <v>145</v>
      </c>
      <c r="AZ19" s="209">
        <f t="shared" si="5"/>
        <v>0</v>
      </c>
      <c r="BA19" s="258" t="s">
        <v>146</v>
      </c>
      <c r="BB19" s="259" t="s">
        <v>145</v>
      </c>
      <c r="BC19" s="258"/>
      <c r="BD19" s="258" t="s">
        <v>146</v>
      </c>
      <c r="BE19" s="259" t="s">
        <v>145</v>
      </c>
      <c r="BF19" s="258"/>
      <c r="BG19" s="258" t="s">
        <v>146</v>
      </c>
      <c r="BH19" s="259" t="s">
        <v>145</v>
      </c>
      <c r="BI19" s="209">
        <f t="shared" si="6"/>
        <v>0</v>
      </c>
      <c r="BJ19" s="258" t="s">
        <v>146</v>
      </c>
      <c r="BK19" s="259" t="s">
        <v>145</v>
      </c>
      <c r="BL19" s="258"/>
      <c r="BM19" s="258" t="s">
        <v>146</v>
      </c>
      <c r="BN19" s="584">
        <f>BN17+1</f>
        <v>23</v>
      </c>
      <c r="BO19" s="199"/>
    </row>
    <row r="20" spans="1:67" ht="15.75" customHeight="1">
      <c r="A20" s="580"/>
      <c r="B20" s="611"/>
      <c r="C20" s="274"/>
      <c r="D20" s="254">
        <f t="shared" si="0"/>
        <v>22.5446</v>
      </c>
      <c r="E20" s="254"/>
      <c r="F20" s="255"/>
      <c r="G20" s="254">
        <f>V20+AN20+BC20+その４!G20+その４!V20+その４!AM20+その４!BB20+その４!BT20+その４!CI20+その４!CY20</f>
        <v>0</v>
      </c>
      <c r="H20" s="428"/>
      <c r="I20" s="254"/>
      <c r="J20" s="254">
        <f>Y20+AQ20+BF20+その４!J20+その４!Y20+その４!AP20+その４!BE20+その４!BW20+その４!CL20+その４!DB20</f>
        <v>0.0291</v>
      </c>
      <c r="K20" s="254"/>
      <c r="L20" s="255"/>
      <c r="M20" s="254">
        <f t="shared" si="1"/>
        <v>0.0291</v>
      </c>
      <c r="N20" s="254"/>
      <c r="O20" s="431"/>
      <c r="P20" s="254">
        <f>AE20+AW20+BL20+その４!P20+その４!AE20+その４!AV20+その４!BK20+その４!CC20+その４!CR20+その４!DH20</f>
        <v>22.5155</v>
      </c>
      <c r="Q20" s="263"/>
      <c r="R20" s="264"/>
      <c r="S20" s="254">
        <f>AB20+AE20</f>
        <v>0</v>
      </c>
      <c r="T20" s="254"/>
      <c r="U20" s="255"/>
      <c r="V20" s="254"/>
      <c r="W20" s="254"/>
      <c r="X20" s="255"/>
      <c r="Y20" s="254"/>
      <c r="Z20" s="254"/>
      <c r="AA20" s="255"/>
      <c r="AB20" s="254">
        <f t="shared" si="7"/>
        <v>0</v>
      </c>
      <c r="AC20" s="254"/>
      <c r="AD20" s="255"/>
      <c r="AE20" s="254"/>
      <c r="AF20" s="265"/>
      <c r="AG20" s="209"/>
      <c r="AH20" s="264"/>
      <c r="AI20" s="209"/>
      <c r="AJ20" s="264"/>
      <c r="AK20" s="254">
        <f t="shared" si="3"/>
        <v>0</v>
      </c>
      <c r="AL20" s="254"/>
      <c r="AM20" s="255"/>
      <c r="AN20" s="254"/>
      <c r="AO20" s="254"/>
      <c r="AP20" s="255"/>
      <c r="AQ20" s="254"/>
      <c r="AR20" s="254"/>
      <c r="AS20" s="255"/>
      <c r="AT20" s="254">
        <f t="shared" si="4"/>
        <v>0</v>
      </c>
      <c r="AU20" s="254"/>
      <c r="AV20" s="255"/>
      <c r="AW20" s="254"/>
      <c r="AX20" s="254"/>
      <c r="AY20" s="264"/>
      <c r="AZ20" s="254">
        <f t="shared" si="5"/>
        <v>0</v>
      </c>
      <c r="BA20" s="254"/>
      <c r="BB20" s="255"/>
      <c r="BC20" s="254"/>
      <c r="BD20" s="254"/>
      <c r="BE20" s="255"/>
      <c r="BF20" s="254"/>
      <c r="BG20" s="254"/>
      <c r="BH20" s="255"/>
      <c r="BI20" s="254">
        <f t="shared" si="6"/>
        <v>0</v>
      </c>
      <c r="BJ20" s="254"/>
      <c r="BK20" s="255"/>
      <c r="BL20" s="254"/>
      <c r="BM20" s="254"/>
      <c r="BN20" s="571"/>
      <c r="BO20" s="199"/>
    </row>
    <row r="21" spans="1:67" ht="15.75" customHeight="1">
      <c r="A21" s="579">
        <v>24</v>
      </c>
      <c r="B21" s="578" t="s">
        <v>175</v>
      </c>
      <c r="C21" s="272" t="s">
        <v>145</v>
      </c>
      <c r="D21" s="209">
        <f t="shared" si="0"/>
        <v>0</v>
      </c>
      <c r="E21" s="209" t="s">
        <v>146</v>
      </c>
      <c r="F21" s="212" t="s">
        <v>145</v>
      </c>
      <c r="G21" s="209">
        <f>V21+AN21+BC21+その４!G21+その４!V21+その４!AM21+その４!BB21+その４!BT21+その４!CI21+その４!CY21</f>
        <v>0</v>
      </c>
      <c r="H21" s="423" t="s">
        <v>146</v>
      </c>
      <c r="I21" s="209" t="s">
        <v>145</v>
      </c>
      <c r="J21" s="209">
        <f>Y21+AQ21+BF21+その４!J21+その４!Y21+その４!AP21+その４!BE21+その４!BW21+その４!CL21+その４!DB21</f>
        <v>0</v>
      </c>
      <c r="K21" s="209" t="s">
        <v>146</v>
      </c>
      <c r="L21" s="212" t="s">
        <v>145</v>
      </c>
      <c r="M21" s="209">
        <f t="shared" si="1"/>
        <v>0</v>
      </c>
      <c r="N21" s="209" t="s">
        <v>146</v>
      </c>
      <c r="O21" s="427" t="s">
        <v>145</v>
      </c>
      <c r="P21" s="209">
        <f>AE21+AW21+BL21+その４!P21+その４!AE21+その４!AV21+その４!BK21+その４!CC21+その４!CR21+その４!DH21</f>
        <v>0</v>
      </c>
      <c r="Q21" s="252" t="s">
        <v>146</v>
      </c>
      <c r="R21" s="208"/>
      <c r="S21" s="209"/>
      <c r="T21" s="209"/>
      <c r="U21" s="212"/>
      <c r="V21" s="209"/>
      <c r="W21" s="209"/>
      <c r="X21" s="212"/>
      <c r="Y21" s="209"/>
      <c r="Z21" s="209"/>
      <c r="AA21" s="212"/>
      <c r="AB21" s="209">
        <f t="shared" si="7"/>
        <v>0</v>
      </c>
      <c r="AC21" s="209"/>
      <c r="AD21" s="212"/>
      <c r="AE21" s="209"/>
      <c r="AF21" s="211"/>
      <c r="AG21" s="209"/>
      <c r="AH21" s="208" t="s">
        <v>145</v>
      </c>
      <c r="AI21" s="209"/>
      <c r="AJ21" s="208" t="s">
        <v>316</v>
      </c>
      <c r="AK21" s="209">
        <f t="shared" si="3"/>
        <v>0</v>
      </c>
      <c r="AL21" s="209" t="s">
        <v>146</v>
      </c>
      <c r="AM21" s="212" t="s">
        <v>145</v>
      </c>
      <c r="AN21" s="209"/>
      <c r="AO21" s="209" t="s">
        <v>146</v>
      </c>
      <c r="AP21" s="212" t="s">
        <v>145</v>
      </c>
      <c r="AQ21" s="209"/>
      <c r="AR21" s="209" t="s">
        <v>146</v>
      </c>
      <c r="AS21" s="212" t="s">
        <v>145</v>
      </c>
      <c r="AT21" s="209">
        <f t="shared" si="4"/>
        <v>0</v>
      </c>
      <c r="AU21" s="209" t="s">
        <v>146</v>
      </c>
      <c r="AV21" s="212" t="s">
        <v>145</v>
      </c>
      <c r="AW21" s="209"/>
      <c r="AX21" s="209" t="s">
        <v>146</v>
      </c>
      <c r="AY21" s="208" t="s">
        <v>145</v>
      </c>
      <c r="AZ21" s="209">
        <f t="shared" si="5"/>
        <v>0</v>
      </c>
      <c r="BA21" s="209" t="s">
        <v>146</v>
      </c>
      <c r="BB21" s="212" t="s">
        <v>145</v>
      </c>
      <c r="BC21" s="209"/>
      <c r="BD21" s="209" t="s">
        <v>146</v>
      </c>
      <c r="BE21" s="212" t="s">
        <v>145</v>
      </c>
      <c r="BF21" s="209"/>
      <c r="BG21" s="209" t="s">
        <v>146</v>
      </c>
      <c r="BH21" s="212" t="s">
        <v>145</v>
      </c>
      <c r="BI21" s="209">
        <f t="shared" si="6"/>
        <v>0</v>
      </c>
      <c r="BJ21" s="209" t="s">
        <v>146</v>
      </c>
      <c r="BK21" s="212" t="s">
        <v>145</v>
      </c>
      <c r="BL21" s="209"/>
      <c r="BM21" s="209" t="s">
        <v>146</v>
      </c>
      <c r="BN21" s="584">
        <v>24</v>
      </c>
      <c r="BO21" s="199"/>
    </row>
    <row r="22" spans="1:67" ht="15.75" customHeight="1">
      <c r="A22" s="580"/>
      <c r="B22" s="611"/>
      <c r="C22" s="272"/>
      <c r="D22" s="254">
        <f t="shared" si="0"/>
        <v>0</v>
      </c>
      <c r="E22" s="209"/>
      <c r="F22" s="212"/>
      <c r="G22" s="254">
        <f>V22+AN22+BC22+その４!G22+その４!V22+その４!AM22+その４!BB22+その４!BT22+その４!CI22+その４!CY22</f>
        <v>0</v>
      </c>
      <c r="H22" s="423"/>
      <c r="I22" s="209"/>
      <c r="J22" s="254">
        <f>Y22+AQ22+BF22+その４!J22+その４!Y22+その４!AP22+その４!BE22+その４!BW22+その４!CL22+その４!DB22</f>
        <v>0</v>
      </c>
      <c r="K22" s="209"/>
      <c r="L22" s="212"/>
      <c r="M22" s="254">
        <f t="shared" si="1"/>
        <v>0</v>
      </c>
      <c r="N22" s="209"/>
      <c r="O22" s="427"/>
      <c r="P22" s="254">
        <f>AE22+AW22+BL22+その４!P22+その４!AE22+その４!AV22+その４!BK22+その４!CC22+その４!CR22+その４!DH22</f>
        <v>0</v>
      </c>
      <c r="Q22" s="252"/>
      <c r="R22" s="208"/>
      <c r="S22" s="254">
        <f>AB22+AE22</f>
        <v>0</v>
      </c>
      <c r="T22" s="209"/>
      <c r="U22" s="212"/>
      <c r="V22" s="209"/>
      <c r="W22" s="209"/>
      <c r="X22" s="212"/>
      <c r="Y22" s="209"/>
      <c r="Z22" s="209"/>
      <c r="AA22" s="212"/>
      <c r="AB22" s="254">
        <f t="shared" si="7"/>
        <v>0</v>
      </c>
      <c r="AC22" s="209"/>
      <c r="AD22" s="212"/>
      <c r="AE22" s="209"/>
      <c r="AF22" s="211"/>
      <c r="AG22" s="209"/>
      <c r="AH22" s="208"/>
      <c r="AI22" s="209"/>
      <c r="AJ22" s="208"/>
      <c r="AK22" s="254">
        <f t="shared" si="3"/>
        <v>0</v>
      </c>
      <c r="AL22" s="209"/>
      <c r="AM22" s="212"/>
      <c r="AN22" s="209"/>
      <c r="AO22" s="209"/>
      <c r="AP22" s="212"/>
      <c r="AQ22" s="209"/>
      <c r="AR22" s="209"/>
      <c r="AS22" s="212"/>
      <c r="AT22" s="254">
        <f t="shared" si="4"/>
        <v>0</v>
      </c>
      <c r="AU22" s="209"/>
      <c r="AV22" s="212"/>
      <c r="AW22" s="209"/>
      <c r="AX22" s="209"/>
      <c r="AY22" s="208"/>
      <c r="AZ22" s="254">
        <f t="shared" si="5"/>
        <v>0</v>
      </c>
      <c r="BA22" s="209"/>
      <c r="BB22" s="212"/>
      <c r="BC22" s="209"/>
      <c r="BD22" s="209"/>
      <c r="BE22" s="212"/>
      <c r="BF22" s="209"/>
      <c r="BG22" s="209"/>
      <c r="BH22" s="212"/>
      <c r="BI22" s="254">
        <f t="shared" si="6"/>
        <v>0</v>
      </c>
      <c r="BJ22" s="209"/>
      <c r="BK22" s="212"/>
      <c r="BL22" s="209"/>
      <c r="BM22" s="209"/>
      <c r="BN22" s="571"/>
      <c r="BO22" s="199"/>
    </row>
    <row r="23" spans="1:67" ht="15.75" customHeight="1">
      <c r="A23" s="579">
        <f>A21+1</f>
        <v>25</v>
      </c>
      <c r="B23" s="578" t="s">
        <v>176</v>
      </c>
      <c r="C23" s="273" t="s">
        <v>145</v>
      </c>
      <c r="D23" s="209">
        <f t="shared" si="0"/>
        <v>0</v>
      </c>
      <c r="E23" s="258" t="s">
        <v>146</v>
      </c>
      <c r="F23" s="259" t="s">
        <v>145</v>
      </c>
      <c r="G23" s="209">
        <f>V23+AN23+BC23+その４!G23+その４!V23+その４!AM23+その４!BB23+その４!BT23+その４!CI23+その４!CY23</f>
        <v>0</v>
      </c>
      <c r="H23" s="429" t="s">
        <v>146</v>
      </c>
      <c r="I23" s="258" t="s">
        <v>145</v>
      </c>
      <c r="J23" s="209">
        <f>Y23+AQ23+BF23+その４!J23+その４!Y23+その４!AP23+その４!BE23+その４!BW23+その４!CL23+その４!DB23</f>
        <v>0</v>
      </c>
      <c r="K23" s="258" t="s">
        <v>146</v>
      </c>
      <c r="L23" s="259" t="s">
        <v>145</v>
      </c>
      <c r="M23" s="209">
        <f t="shared" si="1"/>
        <v>0</v>
      </c>
      <c r="N23" s="258" t="s">
        <v>146</v>
      </c>
      <c r="O23" s="430" t="s">
        <v>323</v>
      </c>
      <c r="P23" s="209">
        <f>AE23+AW23+BL23+その４!P23+その４!AE23+その４!AV23+その４!BK23+その４!CC23+その４!CR23+その４!DH23</f>
        <v>0</v>
      </c>
      <c r="Q23" s="260" t="s">
        <v>146</v>
      </c>
      <c r="R23" s="261"/>
      <c r="S23" s="209"/>
      <c r="T23" s="258"/>
      <c r="U23" s="259"/>
      <c r="V23" s="258"/>
      <c r="W23" s="258"/>
      <c r="X23" s="259"/>
      <c r="Y23" s="258"/>
      <c r="Z23" s="258"/>
      <c r="AA23" s="259"/>
      <c r="AB23" s="209">
        <f t="shared" si="7"/>
        <v>0</v>
      </c>
      <c r="AC23" s="258"/>
      <c r="AD23" s="259"/>
      <c r="AE23" s="258"/>
      <c r="AF23" s="262"/>
      <c r="AG23" s="209"/>
      <c r="AH23" s="261" t="s">
        <v>145</v>
      </c>
      <c r="AI23" s="209"/>
      <c r="AJ23" s="261" t="s">
        <v>323</v>
      </c>
      <c r="AK23" s="209">
        <f t="shared" si="3"/>
        <v>0</v>
      </c>
      <c r="AL23" s="258" t="s">
        <v>146</v>
      </c>
      <c r="AM23" s="259" t="s">
        <v>145</v>
      </c>
      <c r="AN23" s="258"/>
      <c r="AO23" s="258" t="s">
        <v>146</v>
      </c>
      <c r="AP23" s="259" t="s">
        <v>145</v>
      </c>
      <c r="AQ23" s="258"/>
      <c r="AR23" s="258" t="s">
        <v>146</v>
      </c>
      <c r="AS23" s="259" t="s">
        <v>145</v>
      </c>
      <c r="AT23" s="209">
        <f t="shared" si="4"/>
        <v>0</v>
      </c>
      <c r="AU23" s="258" t="s">
        <v>146</v>
      </c>
      <c r="AV23" s="259" t="s">
        <v>145</v>
      </c>
      <c r="AW23" s="258"/>
      <c r="AX23" s="258" t="s">
        <v>146</v>
      </c>
      <c r="AY23" s="261" t="s">
        <v>145</v>
      </c>
      <c r="AZ23" s="209">
        <f t="shared" si="5"/>
        <v>0</v>
      </c>
      <c r="BA23" s="258" t="s">
        <v>146</v>
      </c>
      <c r="BB23" s="259" t="s">
        <v>145</v>
      </c>
      <c r="BC23" s="258"/>
      <c r="BD23" s="258" t="s">
        <v>146</v>
      </c>
      <c r="BE23" s="259" t="s">
        <v>145</v>
      </c>
      <c r="BF23" s="258"/>
      <c r="BG23" s="258" t="s">
        <v>146</v>
      </c>
      <c r="BH23" s="259" t="s">
        <v>145</v>
      </c>
      <c r="BI23" s="209">
        <f t="shared" si="6"/>
        <v>0</v>
      </c>
      <c r="BJ23" s="258" t="s">
        <v>146</v>
      </c>
      <c r="BK23" s="259" t="s">
        <v>145</v>
      </c>
      <c r="BL23" s="258"/>
      <c r="BM23" s="258" t="s">
        <v>146</v>
      </c>
      <c r="BN23" s="584">
        <f>BN21+1</f>
        <v>25</v>
      </c>
      <c r="BO23" s="199"/>
    </row>
    <row r="24" spans="1:67" ht="15.75" customHeight="1">
      <c r="A24" s="580"/>
      <c r="B24" s="611"/>
      <c r="C24" s="274"/>
      <c r="D24" s="254">
        <f t="shared" si="0"/>
        <v>0</v>
      </c>
      <c r="E24" s="254"/>
      <c r="F24" s="255"/>
      <c r="G24" s="254">
        <f>V24+AN24+BC24+その４!G24+その４!V24+その４!AM24+その４!BB24+その４!BT24+その４!CI24+その４!CY24</f>
        <v>0</v>
      </c>
      <c r="H24" s="428"/>
      <c r="I24" s="254"/>
      <c r="J24" s="254">
        <f>Y24+AQ24+BF24+その４!J24+その４!Y24+その４!AP24+その４!BE24+その４!BW24+その４!CL24+その４!DB24</f>
        <v>0</v>
      </c>
      <c r="K24" s="254"/>
      <c r="L24" s="255"/>
      <c r="M24" s="254">
        <f t="shared" si="1"/>
        <v>0</v>
      </c>
      <c r="N24" s="254"/>
      <c r="O24" s="431"/>
      <c r="P24" s="254">
        <f>AE24+AW24+BL24+その４!P24+その４!AE24+その４!AV24+その４!BK24+その４!CC24+その４!CR24+その４!DH24</f>
        <v>0</v>
      </c>
      <c r="Q24" s="263"/>
      <c r="R24" s="264"/>
      <c r="S24" s="254">
        <f>AB24+AE24</f>
        <v>0</v>
      </c>
      <c r="T24" s="254"/>
      <c r="U24" s="255"/>
      <c r="V24" s="254"/>
      <c r="W24" s="254"/>
      <c r="X24" s="255"/>
      <c r="Y24" s="254"/>
      <c r="Z24" s="254"/>
      <c r="AA24" s="255"/>
      <c r="AB24" s="254">
        <f t="shared" si="7"/>
        <v>0</v>
      </c>
      <c r="AC24" s="254"/>
      <c r="AD24" s="255"/>
      <c r="AE24" s="254"/>
      <c r="AF24" s="265"/>
      <c r="AG24" s="209"/>
      <c r="AH24" s="264"/>
      <c r="AI24" s="209"/>
      <c r="AJ24" s="264"/>
      <c r="AK24" s="254">
        <f t="shared" si="3"/>
        <v>0</v>
      </c>
      <c r="AL24" s="254"/>
      <c r="AM24" s="255"/>
      <c r="AN24" s="254"/>
      <c r="AO24" s="254"/>
      <c r="AP24" s="255"/>
      <c r="AQ24" s="254"/>
      <c r="AR24" s="254"/>
      <c r="AS24" s="255"/>
      <c r="AT24" s="254">
        <f t="shared" si="4"/>
        <v>0</v>
      </c>
      <c r="AU24" s="254"/>
      <c r="AV24" s="255"/>
      <c r="AW24" s="254"/>
      <c r="AX24" s="254"/>
      <c r="AY24" s="264"/>
      <c r="AZ24" s="254">
        <f t="shared" si="5"/>
        <v>0</v>
      </c>
      <c r="BA24" s="254"/>
      <c r="BB24" s="255"/>
      <c r="BC24" s="254"/>
      <c r="BD24" s="254"/>
      <c r="BE24" s="255"/>
      <c r="BF24" s="254"/>
      <c r="BG24" s="254"/>
      <c r="BH24" s="255"/>
      <c r="BI24" s="254">
        <f t="shared" si="6"/>
        <v>0</v>
      </c>
      <c r="BJ24" s="254"/>
      <c r="BK24" s="255"/>
      <c r="BL24" s="254"/>
      <c r="BM24" s="254"/>
      <c r="BN24" s="571"/>
      <c r="BO24" s="199"/>
    </row>
    <row r="25" spans="1:67" ht="15.75" customHeight="1">
      <c r="A25" s="579">
        <f>A23+1</f>
        <v>26</v>
      </c>
      <c r="B25" s="578" t="s">
        <v>177</v>
      </c>
      <c r="C25" s="272" t="s">
        <v>145</v>
      </c>
      <c r="D25" s="209">
        <f t="shared" si="0"/>
        <v>0</v>
      </c>
      <c r="E25" s="209" t="s">
        <v>146</v>
      </c>
      <c r="F25" s="212" t="s">
        <v>145</v>
      </c>
      <c r="G25" s="209">
        <f>V25+AN25+BC25+その４!G25+その４!V25+その４!AM25+その４!BB25+その４!BT25+その４!CI25+その４!CY25</f>
        <v>0</v>
      </c>
      <c r="H25" s="423" t="s">
        <v>146</v>
      </c>
      <c r="I25" s="209" t="s">
        <v>145</v>
      </c>
      <c r="J25" s="209">
        <f>Y25+AQ25+BF25+その４!J25+その４!Y25+その４!AP25+その４!BE25+その４!BW25+その４!CL25+その４!DB25</f>
        <v>0</v>
      </c>
      <c r="K25" s="209" t="s">
        <v>146</v>
      </c>
      <c r="L25" s="212" t="s">
        <v>145</v>
      </c>
      <c r="M25" s="209">
        <f t="shared" si="1"/>
        <v>0</v>
      </c>
      <c r="N25" s="209" t="s">
        <v>146</v>
      </c>
      <c r="O25" s="427" t="s">
        <v>145</v>
      </c>
      <c r="P25" s="209">
        <f>AE25+AW25+BL25+その４!P25+その４!AE25+その４!AV25+その４!BK25+その４!CC25+その４!CR25+その４!DH25</f>
        <v>0</v>
      </c>
      <c r="Q25" s="252" t="s">
        <v>146</v>
      </c>
      <c r="R25" s="208"/>
      <c r="S25" s="209"/>
      <c r="T25" s="209"/>
      <c r="U25" s="212"/>
      <c r="V25" s="209"/>
      <c r="W25" s="209"/>
      <c r="X25" s="212"/>
      <c r="Y25" s="209"/>
      <c r="Z25" s="209"/>
      <c r="AA25" s="212"/>
      <c r="AB25" s="209">
        <f t="shared" si="7"/>
        <v>0</v>
      </c>
      <c r="AC25" s="209"/>
      <c r="AD25" s="212"/>
      <c r="AE25" s="209"/>
      <c r="AF25" s="211"/>
      <c r="AG25" s="209"/>
      <c r="AH25" s="208" t="s">
        <v>145</v>
      </c>
      <c r="AI25" s="209"/>
      <c r="AJ25" s="208" t="s">
        <v>324</v>
      </c>
      <c r="AK25" s="209">
        <f t="shared" si="3"/>
        <v>0</v>
      </c>
      <c r="AL25" s="209" t="s">
        <v>146</v>
      </c>
      <c r="AM25" s="212" t="s">
        <v>145</v>
      </c>
      <c r="AN25" s="209"/>
      <c r="AO25" s="209" t="s">
        <v>146</v>
      </c>
      <c r="AP25" s="212" t="s">
        <v>145</v>
      </c>
      <c r="AQ25" s="209"/>
      <c r="AR25" s="209" t="s">
        <v>146</v>
      </c>
      <c r="AS25" s="212" t="s">
        <v>145</v>
      </c>
      <c r="AT25" s="209">
        <f t="shared" si="4"/>
        <v>0</v>
      </c>
      <c r="AU25" s="209" t="s">
        <v>146</v>
      </c>
      <c r="AV25" s="212" t="s">
        <v>145</v>
      </c>
      <c r="AW25" s="209"/>
      <c r="AX25" s="209" t="s">
        <v>146</v>
      </c>
      <c r="AY25" s="208" t="s">
        <v>145</v>
      </c>
      <c r="AZ25" s="209">
        <f t="shared" si="5"/>
        <v>0</v>
      </c>
      <c r="BA25" s="209" t="s">
        <v>146</v>
      </c>
      <c r="BB25" s="212" t="s">
        <v>145</v>
      </c>
      <c r="BC25" s="209"/>
      <c r="BD25" s="209" t="s">
        <v>146</v>
      </c>
      <c r="BE25" s="212" t="s">
        <v>145</v>
      </c>
      <c r="BF25" s="209"/>
      <c r="BG25" s="209" t="s">
        <v>146</v>
      </c>
      <c r="BH25" s="212" t="s">
        <v>145</v>
      </c>
      <c r="BI25" s="209">
        <f t="shared" si="6"/>
        <v>0</v>
      </c>
      <c r="BJ25" s="209" t="s">
        <v>146</v>
      </c>
      <c r="BK25" s="212" t="s">
        <v>145</v>
      </c>
      <c r="BL25" s="209"/>
      <c r="BM25" s="209" t="s">
        <v>146</v>
      </c>
      <c r="BN25" s="584">
        <f>BN23+1</f>
        <v>26</v>
      </c>
      <c r="BO25" s="199"/>
    </row>
    <row r="26" spans="1:67" ht="15.75" customHeight="1">
      <c r="A26" s="580"/>
      <c r="B26" s="611"/>
      <c r="C26" s="272"/>
      <c r="D26" s="254">
        <f t="shared" si="0"/>
        <v>13.7825</v>
      </c>
      <c r="E26" s="209"/>
      <c r="F26" s="212"/>
      <c r="G26" s="254">
        <f>V26+AN26+BC26+その４!G26+その４!V26+その４!AM26+その４!BB26+その４!BT26+その４!CI26+その４!CY26</f>
        <v>0</v>
      </c>
      <c r="H26" s="423"/>
      <c r="I26" s="209"/>
      <c r="J26" s="254">
        <f>Y26+AQ26+BF26+その４!J26+その４!Y26+その４!AP26+その４!BE26+その４!BW26+その４!CL26+その４!DB26</f>
        <v>0</v>
      </c>
      <c r="K26" s="209"/>
      <c r="L26" s="212"/>
      <c r="M26" s="254">
        <f t="shared" si="1"/>
        <v>0</v>
      </c>
      <c r="N26" s="209"/>
      <c r="O26" s="427"/>
      <c r="P26" s="254">
        <f>AE26+AW26+BL26+その４!P26+その４!AE26+その４!AV26+その４!BK26+その４!CC26+その４!CR26+その４!DH26</f>
        <v>13.7825</v>
      </c>
      <c r="Q26" s="252"/>
      <c r="R26" s="208"/>
      <c r="S26" s="254">
        <f>AB26+AE26</f>
        <v>0</v>
      </c>
      <c r="T26" s="209"/>
      <c r="U26" s="212"/>
      <c r="V26" s="209"/>
      <c r="W26" s="209"/>
      <c r="X26" s="212"/>
      <c r="Y26" s="209"/>
      <c r="Z26" s="209"/>
      <c r="AA26" s="212"/>
      <c r="AB26" s="254">
        <f t="shared" si="7"/>
        <v>0</v>
      </c>
      <c r="AC26" s="209"/>
      <c r="AD26" s="212"/>
      <c r="AE26" s="209"/>
      <c r="AF26" s="211"/>
      <c r="AG26" s="209"/>
      <c r="AH26" s="208"/>
      <c r="AI26" s="209"/>
      <c r="AJ26" s="208"/>
      <c r="AK26" s="254">
        <f t="shared" si="3"/>
        <v>0</v>
      </c>
      <c r="AL26" s="209"/>
      <c r="AM26" s="212"/>
      <c r="AN26" s="209"/>
      <c r="AO26" s="209"/>
      <c r="AP26" s="212"/>
      <c r="AQ26" s="209"/>
      <c r="AR26" s="209"/>
      <c r="AS26" s="212"/>
      <c r="AT26" s="254">
        <f t="shared" si="4"/>
        <v>0</v>
      </c>
      <c r="AU26" s="209"/>
      <c r="AV26" s="212"/>
      <c r="AW26" s="209"/>
      <c r="AX26" s="209"/>
      <c r="AY26" s="208"/>
      <c r="AZ26" s="254">
        <f t="shared" si="5"/>
        <v>0</v>
      </c>
      <c r="BA26" s="209"/>
      <c r="BB26" s="212"/>
      <c r="BC26" s="209"/>
      <c r="BD26" s="209"/>
      <c r="BE26" s="212"/>
      <c r="BF26" s="209"/>
      <c r="BG26" s="209"/>
      <c r="BH26" s="212"/>
      <c r="BI26" s="254">
        <f t="shared" si="6"/>
        <v>0</v>
      </c>
      <c r="BJ26" s="209"/>
      <c r="BK26" s="212"/>
      <c r="BL26" s="209"/>
      <c r="BM26" s="209"/>
      <c r="BN26" s="571"/>
      <c r="BO26" s="199"/>
    </row>
    <row r="27" spans="1:67" ht="15.75" customHeight="1">
      <c r="A27" s="579">
        <f>A25+1</f>
        <v>27</v>
      </c>
      <c r="B27" s="578" t="s">
        <v>178</v>
      </c>
      <c r="C27" s="273" t="s">
        <v>145</v>
      </c>
      <c r="D27" s="209">
        <f t="shared" si="0"/>
        <v>0</v>
      </c>
      <c r="E27" s="258" t="s">
        <v>146</v>
      </c>
      <c r="F27" s="259" t="s">
        <v>145</v>
      </c>
      <c r="G27" s="209">
        <f>V27+AN27+BC27+その４!G27+その４!V27+その４!AM27+その４!BB27+その４!BT27+その４!CI27+その４!CY27</f>
        <v>0</v>
      </c>
      <c r="H27" s="429" t="s">
        <v>146</v>
      </c>
      <c r="I27" s="258" t="s">
        <v>145</v>
      </c>
      <c r="J27" s="209">
        <f>Y27+AQ27+BF27+その４!J27+その４!Y27+その４!AP27+その４!BE27+その４!BW27+その４!CL27+その４!DB27</f>
        <v>0</v>
      </c>
      <c r="K27" s="258" t="s">
        <v>146</v>
      </c>
      <c r="L27" s="259" t="s">
        <v>145</v>
      </c>
      <c r="M27" s="209">
        <f t="shared" si="1"/>
        <v>0</v>
      </c>
      <c r="N27" s="258" t="s">
        <v>146</v>
      </c>
      <c r="O27" s="430" t="s">
        <v>145</v>
      </c>
      <c r="P27" s="209">
        <f>AE27+AW27+BL27+その４!P27+その４!AE27+その４!AV27+その４!BK27+その４!CC27+その４!CR27+その４!DH27</f>
        <v>0</v>
      </c>
      <c r="Q27" s="260" t="s">
        <v>146</v>
      </c>
      <c r="R27" s="261"/>
      <c r="S27" s="209"/>
      <c r="T27" s="258"/>
      <c r="U27" s="259"/>
      <c r="V27" s="258"/>
      <c r="W27" s="258"/>
      <c r="X27" s="259"/>
      <c r="Y27" s="258"/>
      <c r="Z27" s="258"/>
      <c r="AA27" s="259"/>
      <c r="AB27" s="209">
        <f t="shared" si="7"/>
        <v>0</v>
      </c>
      <c r="AC27" s="258"/>
      <c r="AD27" s="259"/>
      <c r="AE27" s="258"/>
      <c r="AF27" s="262"/>
      <c r="AG27" s="209"/>
      <c r="AH27" s="261" t="s">
        <v>145</v>
      </c>
      <c r="AI27" s="209"/>
      <c r="AJ27" s="261" t="s">
        <v>322</v>
      </c>
      <c r="AK27" s="209">
        <f t="shared" si="3"/>
        <v>0</v>
      </c>
      <c r="AL27" s="258" t="s">
        <v>146</v>
      </c>
      <c r="AM27" s="259" t="s">
        <v>145</v>
      </c>
      <c r="AN27" s="258"/>
      <c r="AO27" s="258" t="s">
        <v>146</v>
      </c>
      <c r="AP27" s="259" t="s">
        <v>145</v>
      </c>
      <c r="AQ27" s="258"/>
      <c r="AR27" s="258" t="s">
        <v>146</v>
      </c>
      <c r="AS27" s="259" t="s">
        <v>145</v>
      </c>
      <c r="AT27" s="209">
        <f t="shared" si="4"/>
        <v>0</v>
      </c>
      <c r="AU27" s="258" t="s">
        <v>146</v>
      </c>
      <c r="AV27" s="259" t="s">
        <v>145</v>
      </c>
      <c r="AW27" s="258"/>
      <c r="AX27" s="258" t="s">
        <v>146</v>
      </c>
      <c r="AY27" s="261" t="s">
        <v>145</v>
      </c>
      <c r="AZ27" s="209">
        <f t="shared" si="5"/>
        <v>0</v>
      </c>
      <c r="BA27" s="258" t="s">
        <v>146</v>
      </c>
      <c r="BB27" s="259" t="s">
        <v>145</v>
      </c>
      <c r="BC27" s="258"/>
      <c r="BD27" s="258" t="s">
        <v>146</v>
      </c>
      <c r="BE27" s="259" t="s">
        <v>145</v>
      </c>
      <c r="BF27" s="258"/>
      <c r="BG27" s="258" t="s">
        <v>146</v>
      </c>
      <c r="BH27" s="259" t="s">
        <v>145</v>
      </c>
      <c r="BI27" s="209">
        <f t="shared" si="6"/>
        <v>0</v>
      </c>
      <c r="BJ27" s="258" t="s">
        <v>146</v>
      </c>
      <c r="BK27" s="259" t="s">
        <v>145</v>
      </c>
      <c r="BL27" s="258"/>
      <c r="BM27" s="258" t="s">
        <v>146</v>
      </c>
      <c r="BN27" s="584">
        <f>BN25+1</f>
        <v>27</v>
      </c>
      <c r="BO27" s="199"/>
    </row>
    <row r="28" spans="1:67" ht="15.75" customHeight="1">
      <c r="A28" s="580"/>
      <c r="B28" s="611"/>
      <c r="C28" s="274"/>
      <c r="D28" s="254">
        <f t="shared" si="0"/>
        <v>1.7046</v>
      </c>
      <c r="E28" s="254"/>
      <c r="F28" s="255"/>
      <c r="G28" s="254">
        <f>V28+AN28+BC28+その４!G28+その４!V28+その４!AM28+その４!BB28+その４!BT28+その４!CI28+その４!CY28</f>
        <v>0</v>
      </c>
      <c r="H28" s="428"/>
      <c r="I28" s="254"/>
      <c r="J28" s="254">
        <f>Y28+AQ28+BF28+その４!J28+その４!Y28+その４!AP28+その４!BE28+その４!BW28+その４!CL28+その４!DB28</f>
        <v>0</v>
      </c>
      <c r="K28" s="254"/>
      <c r="L28" s="255"/>
      <c r="M28" s="254">
        <f t="shared" si="1"/>
        <v>0</v>
      </c>
      <c r="N28" s="254"/>
      <c r="O28" s="431"/>
      <c r="P28" s="254">
        <f>AE28+AW28+BL28+その４!P28+その４!AE28+その４!AV28+その４!BK28+その４!CC28+その４!CR28+その４!DH28</f>
        <v>1.7046</v>
      </c>
      <c r="Q28" s="263"/>
      <c r="R28" s="264"/>
      <c r="S28" s="254">
        <f>AB28+AE28</f>
        <v>0</v>
      </c>
      <c r="T28" s="254"/>
      <c r="U28" s="255"/>
      <c r="V28" s="254"/>
      <c r="W28" s="254"/>
      <c r="X28" s="255"/>
      <c r="Y28" s="254"/>
      <c r="Z28" s="254"/>
      <c r="AA28" s="255"/>
      <c r="AB28" s="254">
        <f t="shared" si="7"/>
        <v>0</v>
      </c>
      <c r="AC28" s="254"/>
      <c r="AD28" s="255"/>
      <c r="AE28" s="254"/>
      <c r="AF28" s="265"/>
      <c r="AG28" s="209"/>
      <c r="AH28" s="264"/>
      <c r="AI28" s="209"/>
      <c r="AJ28" s="264"/>
      <c r="AK28" s="254">
        <f t="shared" si="3"/>
        <v>0</v>
      </c>
      <c r="AL28" s="254"/>
      <c r="AM28" s="255"/>
      <c r="AN28" s="254"/>
      <c r="AO28" s="254"/>
      <c r="AP28" s="255"/>
      <c r="AQ28" s="254"/>
      <c r="AR28" s="254"/>
      <c r="AS28" s="255"/>
      <c r="AT28" s="254">
        <f t="shared" si="4"/>
        <v>0</v>
      </c>
      <c r="AU28" s="254"/>
      <c r="AV28" s="255"/>
      <c r="AW28" s="254"/>
      <c r="AX28" s="254"/>
      <c r="AY28" s="264"/>
      <c r="AZ28" s="254">
        <f t="shared" si="5"/>
        <v>0</v>
      </c>
      <c r="BA28" s="254"/>
      <c r="BB28" s="255"/>
      <c r="BC28" s="254"/>
      <c r="BD28" s="254"/>
      <c r="BE28" s="255"/>
      <c r="BF28" s="254"/>
      <c r="BG28" s="254"/>
      <c r="BH28" s="255"/>
      <c r="BI28" s="254">
        <f t="shared" si="6"/>
        <v>0</v>
      </c>
      <c r="BJ28" s="254"/>
      <c r="BK28" s="255"/>
      <c r="BL28" s="254"/>
      <c r="BM28" s="254"/>
      <c r="BN28" s="571"/>
      <c r="BO28" s="199"/>
    </row>
    <row r="29" spans="1:67" ht="15.75" customHeight="1">
      <c r="A29" s="579">
        <f>A27+1</f>
        <v>28</v>
      </c>
      <c r="B29" s="578" t="s">
        <v>179</v>
      </c>
      <c r="C29" s="272" t="s">
        <v>145</v>
      </c>
      <c r="D29" s="209">
        <f t="shared" si="0"/>
        <v>0</v>
      </c>
      <c r="E29" s="209" t="s">
        <v>146</v>
      </c>
      <c r="F29" s="212" t="s">
        <v>145</v>
      </c>
      <c r="G29" s="209">
        <f>V29+AN29+BC29+その４!G29+その４!V29+その４!AM29+その４!BB29+その４!BT29+その４!CI29+その４!CY29</f>
        <v>0</v>
      </c>
      <c r="H29" s="423" t="s">
        <v>146</v>
      </c>
      <c r="I29" s="209" t="s">
        <v>145</v>
      </c>
      <c r="J29" s="209">
        <f>Y29+AQ29+BF29+その４!J29+その４!Y29+その４!AP29+その４!BE29+その４!BW29+その４!CL29+その４!DB29</f>
        <v>0</v>
      </c>
      <c r="K29" s="209" t="s">
        <v>146</v>
      </c>
      <c r="L29" s="212" t="s">
        <v>145</v>
      </c>
      <c r="M29" s="209">
        <f t="shared" si="1"/>
        <v>0</v>
      </c>
      <c r="N29" s="209" t="s">
        <v>146</v>
      </c>
      <c r="O29" s="427" t="s">
        <v>145</v>
      </c>
      <c r="P29" s="209">
        <f>AE29+AW29+BL29+その４!P29+その４!AE29+その４!AV29+その４!BK29+その４!CC29+その４!CR29+その４!DH29</f>
        <v>0</v>
      </c>
      <c r="Q29" s="252" t="s">
        <v>146</v>
      </c>
      <c r="R29" s="208"/>
      <c r="S29" s="209"/>
      <c r="T29" s="209"/>
      <c r="U29" s="212"/>
      <c r="V29" s="209"/>
      <c r="W29" s="209"/>
      <c r="X29" s="212"/>
      <c r="Y29" s="209"/>
      <c r="Z29" s="209"/>
      <c r="AA29" s="212"/>
      <c r="AB29" s="209">
        <f t="shared" si="7"/>
        <v>0</v>
      </c>
      <c r="AC29" s="209"/>
      <c r="AD29" s="212"/>
      <c r="AE29" s="209"/>
      <c r="AF29" s="211"/>
      <c r="AG29" s="209"/>
      <c r="AH29" s="208" t="s">
        <v>145</v>
      </c>
      <c r="AI29" s="209"/>
      <c r="AJ29" s="208" t="s">
        <v>322</v>
      </c>
      <c r="AK29" s="209">
        <f t="shared" si="3"/>
        <v>0</v>
      </c>
      <c r="AL29" s="209" t="s">
        <v>146</v>
      </c>
      <c r="AM29" s="212" t="s">
        <v>145</v>
      </c>
      <c r="AN29" s="209"/>
      <c r="AO29" s="209" t="s">
        <v>146</v>
      </c>
      <c r="AP29" s="212" t="s">
        <v>145</v>
      </c>
      <c r="AQ29" s="209"/>
      <c r="AR29" s="209" t="s">
        <v>146</v>
      </c>
      <c r="AS29" s="212" t="s">
        <v>145</v>
      </c>
      <c r="AT29" s="209">
        <f t="shared" si="4"/>
        <v>0</v>
      </c>
      <c r="AU29" s="209" t="s">
        <v>146</v>
      </c>
      <c r="AV29" s="212" t="s">
        <v>145</v>
      </c>
      <c r="AW29" s="209"/>
      <c r="AX29" s="209" t="s">
        <v>146</v>
      </c>
      <c r="AY29" s="208" t="s">
        <v>145</v>
      </c>
      <c r="AZ29" s="209">
        <f t="shared" si="5"/>
        <v>0</v>
      </c>
      <c r="BA29" s="209" t="s">
        <v>146</v>
      </c>
      <c r="BB29" s="212" t="s">
        <v>145</v>
      </c>
      <c r="BC29" s="209"/>
      <c r="BD29" s="209" t="s">
        <v>146</v>
      </c>
      <c r="BE29" s="212" t="s">
        <v>145</v>
      </c>
      <c r="BF29" s="209"/>
      <c r="BG29" s="209" t="s">
        <v>146</v>
      </c>
      <c r="BH29" s="212" t="s">
        <v>145</v>
      </c>
      <c r="BI29" s="209">
        <f t="shared" si="6"/>
        <v>0</v>
      </c>
      <c r="BJ29" s="209" t="s">
        <v>146</v>
      </c>
      <c r="BK29" s="212" t="s">
        <v>145</v>
      </c>
      <c r="BL29" s="209"/>
      <c r="BM29" s="209" t="s">
        <v>146</v>
      </c>
      <c r="BN29" s="584">
        <f>BN27+1</f>
        <v>28</v>
      </c>
      <c r="BO29" s="199"/>
    </row>
    <row r="30" spans="1:67" ht="15.75" customHeight="1" thickBot="1">
      <c r="A30" s="614"/>
      <c r="B30" s="615"/>
      <c r="C30" s="279"/>
      <c r="D30" s="209">
        <f t="shared" si="0"/>
        <v>3.5185</v>
      </c>
      <c r="E30" s="217"/>
      <c r="F30" s="218"/>
      <c r="G30" s="217">
        <f>V30+AN30+BC30+その４!G30+その４!V30+その４!AM30+その４!BB30+その４!BT30+その４!CI30+その４!CY30</f>
        <v>0</v>
      </c>
      <c r="H30" s="424"/>
      <c r="I30" s="217"/>
      <c r="J30" s="217">
        <f>Y30+AQ30+BF30+その４!J30+その４!Y30+その４!AP30+その４!BE30+その４!BW30+その４!CL30+その４!DB30</f>
        <v>0</v>
      </c>
      <c r="K30" s="217"/>
      <c r="L30" s="218"/>
      <c r="M30" s="209">
        <f t="shared" si="1"/>
        <v>0</v>
      </c>
      <c r="N30" s="217"/>
      <c r="O30" s="432"/>
      <c r="P30" s="217">
        <f>AE30+AW30+BL30+その４!P30+その４!AE30+その４!AV30+その４!BK30+その４!CC30+その４!CR30+その４!DH30</f>
        <v>3.5185</v>
      </c>
      <c r="Q30" s="280"/>
      <c r="R30" s="216"/>
      <c r="S30" s="217">
        <f>AB30+AE30</f>
        <v>0</v>
      </c>
      <c r="T30" s="217"/>
      <c r="U30" s="218"/>
      <c r="V30" s="217"/>
      <c r="W30" s="217"/>
      <c r="X30" s="218"/>
      <c r="Y30" s="217"/>
      <c r="Z30" s="217"/>
      <c r="AA30" s="218"/>
      <c r="AB30" s="209">
        <f t="shared" si="7"/>
        <v>0</v>
      </c>
      <c r="AC30" s="217"/>
      <c r="AD30" s="218"/>
      <c r="AE30" s="217"/>
      <c r="AF30" s="219"/>
      <c r="AG30" s="209"/>
      <c r="AH30" s="216"/>
      <c r="AI30" s="209"/>
      <c r="AJ30" s="216"/>
      <c r="AK30" s="217">
        <f t="shared" si="3"/>
        <v>0</v>
      </c>
      <c r="AL30" s="217"/>
      <c r="AM30" s="218"/>
      <c r="AN30" s="217"/>
      <c r="AO30" s="217"/>
      <c r="AP30" s="218"/>
      <c r="AQ30" s="217"/>
      <c r="AR30" s="217"/>
      <c r="AS30" s="218"/>
      <c r="AT30" s="209">
        <f t="shared" si="4"/>
        <v>0</v>
      </c>
      <c r="AU30" s="217"/>
      <c r="AV30" s="218"/>
      <c r="AW30" s="217"/>
      <c r="AX30" s="217"/>
      <c r="AY30" s="216"/>
      <c r="AZ30" s="209">
        <f t="shared" si="5"/>
        <v>0</v>
      </c>
      <c r="BA30" s="217"/>
      <c r="BB30" s="218"/>
      <c r="BC30" s="217"/>
      <c r="BD30" s="217"/>
      <c r="BE30" s="218"/>
      <c r="BF30" s="217"/>
      <c r="BG30" s="217"/>
      <c r="BH30" s="218"/>
      <c r="BI30" s="209">
        <f t="shared" si="6"/>
        <v>0</v>
      </c>
      <c r="BJ30" s="217"/>
      <c r="BK30" s="218"/>
      <c r="BL30" s="217"/>
      <c r="BM30" s="217"/>
      <c r="BN30" s="585"/>
      <c r="BO30" s="199"/>
    </row>
    <row r="31" spans="1:66" s="228" customFormat="1" ht="15.75" customHeight="1">
      <c r="A31" s="569" t="s">
        <v>180</v>
      </c>
      <c r="B31" s="581"/>
      <c r="C31" s="227" t="s">
        <v>325</v>
      </c>
      <c r="D31" s="230">
        <f>D33+D39+D49</f>
        <v>2877.1697999999997</v>
      </c>
      <c r="E31" s="230" t="s">
        <v>326</v>
      </c>
      <c r="F31" s="232" t="s">
        <v>325</v>
      </c>
      <c r="G31" s="220">
        <f>G33+G39+G49</f>
        <v>530.1809000000001</v>
      </c>
      <c r="H31" s="231" t="s">
        <v>326</v>
      </c>
      <c r="I31" s="230" t="s">
        <v>325</v>
      </c>
      <c r="J31" s="230"/>
      <c r="K31" s="230" t="s">
        <v>326</v>
      </c>
      <c r="L31" s="232" t="s">
        <v>325</v>
      </c>
      <c r="M31" s="230">
        <f>M33+M39+M49</f>
        <v>530.7509</v>
      </c>
      <c r="N31" s="230" t="s">
        <v>326</v>
      </c>
      <c r="O31" s="233" t="s">
        <v>325</v>
      </c>
      <c r="P31" s="220">
        <f>P33+P39+P49</f>
        <v>2346.4189</v>
      </c>
      <c r="Q31" s="426" t="s">
        <v>326</v>
      </c>
      <c r="R31" s="227"/>
      <c r="S31" s="220"/>
      <c r="T31" s="230"/>
      <c r="U31" s="232"/>
      <c r="V31" s="230"/>
      <c r="W31" s="231"/>
      <c r="X31" s="230"/>
      <c r="Y31" s="230"/>
      <c r="Z31" s="230"/>
      <c r="AA31" s="232"/>
      <c r="AB31" s="230"/>
      <c r="AC31" s="230"/>
      <c r="AD31" s="233"/>
      <c r="AE31" s="230"/>
      <c r="AF31" s="234"/>
      <c r="AG31" s="224"/>
      <c r="AH31" s="227" t="s">
        <v>325</v>
      </c>
      <c r="AI31" s="220"/>
      <c r="AJ31" s="434" t="s">
        <v>325</v>
      </c>
      <c r="AK31" s="220"/>
      <c r="AL31" s="230" t="s">
        <v>326</v>
      </c>
      <c r="AM31" s="232" t="s">
        <v>325</v>
      </c>
      <c r="AN31" s="230"/>
      <c r="AO31" s="231" t="s">
        <v>326</v>
      </c>
      <c r="AP31" s="230" t="s">
        <v>325</v>
      </c>
      <c r="AQ31" s="230"/>
      <c r="AR31" s="230" t="s">
        <v>326</v>
      </c>
      <c r="AS31" s="232" t="s">
        <v>325</v>
      </c>
      <c r="AT31" s="230"/>
      <c r="AU31" s="230" t="s">
        <v>326</v>
      </c>
      <c r="AV31" s="233" t="s">
        <v>325</v>
      </c>
      <c r="AW31" s="230"/>
      <c r="AX31" s="426" t="s">
        <v>326</v>
      </c>
      <c r="AY31" s="227" t="s">
        <v>325</v>
      </c>
      <c r="AZ31" s="230"/>
      <c r="BA31" s="230" t="s">
        <v>326</v>
      </c>
      <c r="BB31" s="232" t="s">
        <v>325</v>
      </c>
      <c r="BC31" s="230"/>
      <c r="BD31" s="231" t="s">
        <v>326</v>
      </c>
      <c r="BE31" s="230" t="s">
        <v>325</v>
      </c>
      <c r="BF31" s="230"/>
      <c r="BG31" s="230" t="s">
        <v>326</v>
      </c>
      <c r="BH31" s="232" t="s">
        <v>325</v>
      </c>
      <c r="BI31" s="230"/>
      <c r="BJ31" s="230" t="s">
        <v>326</v>
      </c>
      <c r="BK31" s="233" t="s">
        <v>325</v>
      </c>
      <c r="BL31" s="230"/>
      <c r="BM31" s="426" t="s">
        <v>326</v>
      </c>
      <c r="BN31" s="235"/>
    </row>
    <row r="32" spans="1:66" s="228" customFormat="1" ht="15.75" customHeight="1" thickBot="1">
      <c r="A32" s="582"/>
      <c r="B32" s="583"/>
      <c r="C32" s="225"/>
      <c r="D32" s="237">
        <f>D34+D40+D50</f>
        <v>51915.384719999995</v>
      </c>
      <c r="E32" s="220"/>
      <c r="F32" s="221"/>
      <c r="G32" s="237">
        <f>G34+G40+G50</f>
        <v>22216.2344</v>
      </c>
      <c r="H32" s="222"/>
      <c r="I32" s="220"/>
      <c r="J32" s="237">
        <f>J34+J40+J50</f>
        <v>60.52972</v>
      </c>
      <c r="K32" s="220"/>
      <c r="L32" s="221"/>
      <c r="M32" s="237">
        <f>M34+M40+M50</f>
        <v>22276.76412</v>
      </c>
      <c r="N32" s="220"/>
      <c r="O32" s="223"/>
      <c r="P32" s="237">
        <f>P34+P40+P50</f>
        <v>29638.6206</v>
      </c>
      <c r="Q32" s="224"/>
      <c r="R32" s="225"/>
      <c r="S32" s="237">
        <f>S34+S40+S50</f>
        <v>34288.2967</v>
      </c>
      <c r="T32" s="220"/>
      <c r="U32" s="221"/>
      <c r="V32" s="237">
        <f>V34+V40+V50</f>
        <v>19247.0395</v>
      </c>
      <c r="W32" s="222"/>
      <c r="X32" s="220"/>
      <c r="Y32" s="237">
        <f>Y34+Y40+Y50</f>
        <v>31.1762</v>
      </c>
      <c r="Z32" s="220"/>
      <c r="AA32" s="221"/>
      <c r="AB32" s="237">
        <f>AB34+AB40+AB50</f>
        <v>19278.2157</v>
      </c>
      <c r="AC32" s="220"/>
      <c r="AD32" s="223"/>
      <c r="AE32" s="237">
        <f>AE34+AE40+AE50</f>
        <v>15010.081</v>
      </c>
      <c r="AF32" s="242"/>
      <c r="AG32" s="224"/>
      <c r="AH32" s="225"/>
      <c r="AI32" s="220"/>
      <c r="AJ32" s="435"/>
      <c r="AK32" s="237">
        <f>AK34+AK40+AK50</f>
        <v>15559.716154999998</v>
      </c>
      <c r="AL32" s="220"/>
      <c r="AM32" s="221"/>
      <c r="AN32" s="237">
        <f>AN34+AN40+AN50</f>
        <v>1949.4524999999999</v>
      </c>
      <c r="AO32" s="222"/>
      <c r="AP32" s="220"/>
      <c r="AQ32" s="237">
        <f>AQ34+AQ40+AQ50</f>
        <v>25.880255</v>
      </c>
      <c r="AR32" s="220"/>
      <c r="AS32" s="221"/>
      <c r="AT32" s="237">
        <f>AT34+AT40+AT50</f>
        <v>1975.332755</v>
      </c>
      <c r="AU32" s="220"/>
      <c r="AV32" s="223"/>
      <c r="AW32" s="237">
        <f>AW34+AW40+AW50</f>
        <v>13584.383399999999</v>
      </c>
      <c r="AX32" s="224"/>
      <c r="AY32" s="225"/>
      <c r="AZ32" s="237">
        <f>AZ34+AZ40+AZ50</f>
        <v>413.885719</v>
      </c>
      <c r="BA32" s="220"/>
      <c r="BB32" s="221"/>
      <c r="BC32" s="237">
        <f>BC34+BC40+BC50</f>
        <v>160.4993</v>
      </c>
      <c r="BD32" s="222"/>
      <c r="BE32" s="220"/>
      <c r="BF32" s="237">
        <f>BF34</f>
        <v>0.3971</v>
      </c>
      <c r="BG32" s="220"/>
      <c r="BH32" s="221"/>
      <c r="BI32" s="237">
        <f>BI34+BI40+BI50</f>
        <v>161.414119</v>
      </c>
      <c r="BJ32" s="220"/>
      <c r="BK32" s="223"/>
      <c r="BL32" s="237">
        <f>BL34+BL40+BL50</f>
        <v>252.47159999999997</v>
      </c>
      <c r="BM32" s="224"/>
      <c r="BN32" s="243"/>
    </row>
    <row r="33" spans="1:67" s="245" customFormat="1" ht="15.75" customHeight="1">
      <c r="A33" s="569"/>
      <c r="B33" s="568" t="s">
        <v>293</v>
      </c>
      <c r="C33" s="271" t="s">
        <v>145</v>
      </c>
      <c r="D33" s="220">
        <f aca="true" t="shared" si="8" ref="D33:D58">M33+P33</f>
        <v>1982.5852</v>
      </c>
      <c r="E33" s="230" t="s">
        <v>146</v>
      </c>
      <c r="F33" s="232" t="s">
        <v>145</v>
      </c>
      <c r="G33" s="230">
        <f>G35+G37</f>
        <v>261.1268</v>
      </c>
      <c r="H33" s="231" t="s">
        <v>146</v>
      </c>
      <c r="I33" s="230" t="s">
        <v>145</v>
      </c>
      <c r="J33" s="230">
        <f>J35+J37</f>
        <v>0</v>
      </c>
      <c r="K33" s="230" t="s">
        <v>146</v>
      </c>
      <c r="L33" s="232" t="s">
        <v>145</v>
      </c>
      <c r="M33" s="220">
        <f aca="true" t="shared" si="9" ref="M33:M58">G33+J33</f>
        <v>261.1268</v>
      </c>
      <c r="N33" s="230" t="s">
        <v>146</v>
      </c>
      <c r="O33" s="233" t="s">
        <v>145</v>
      </c>
      <c r="P33" s="230">
        <f>P35+P37</f>
        <v>1721.4584</v>
      </c>
      <c r="Q33" s="426" t="s">
        <v>146</v>
      </c>
      <c r="R33" s="229"/>
      <c r="S33" s="220"/>
      <c r="T33" s="230"/>
      <c r="U33" s="232"/>
      <c r="V33" s="230">
        <f>V35+V37</f>
        <v>0</v>
      </c>
      <c r="W33" s="231"/>
      <c r="X33" s="230"/>
      <c r="Y33" s="230">
        <f>Y35+Y37</f>
        <v>0</v>
      </c>
      <c r="Z33" s="230"/>
      <c r="AA33" s="232"/>
      <c r="AB33" s="220">
        <f aca="true" t="shared" si="10" ref="AB33:AB58">V33+Y33</f>
        <v>0</v>
      </c>
      <c r="AC33" s="230"/>
      <c r="AD33" s="233"/>
      <c r="AE33" s="230">
        <f>AE35+AE37</f>
        <v>0</v>
      </c>
      <c r="AF33" s="234"/>
      <c r="AG33" s="224"/>
      <c r="AH33" s="229" t="s">
        <v>145</v>
      </c>
      <c r="AI33" s="276"/>
      <c r="AJ33" s="434" t="s">
        <v>317</v>
      </c>
      <c r="AK33" s="220"/>
      <c r="AL33" s="230" t="s">
        <v>146</v>
      </c>
      <c r="AM33" s="232" t="s">
        <v>145</v>
      </c>
      <c r="AN33" s="230">
        <f>AN35+AN37</f>
        <v>0</v>
      </c>
      <c r="AO33" s="231" t="s">
        <v>146</v>
      </c>
      <c r="AP33" s="230" t="s">
        <v>145</v>
      </c>
      <c r="AQ33" s="230">
        <f>AQ35+AQ37</f>
        <v>0</v>
      </c>
      <c r="AR33" s="230" t="s">
        <v>146</v>
      </c>
      <c r="AS33" s="232" t="s">
        <v>145</v>
      </c>
      <c r="AT33" s="220">
        <f aca="true" t="shared" si="11" ref="AT33:AT58">AN33+AQ33</f>
        <v>0</v>
      </c>
      <c r="AU33" s="230" t="s">
        <v>146</v>
      </c>
      <c r="AV33" s="233" t="s">
        <v>145</v>
      </c>
      <c r="AW33" s="230">
        <f>AW35+AW37</f>
        <v>0</v>
      </c>
      <c r="AX33" s="426" t="s">
        <v>146</v>
      </c>
      <c r="AY33" s="229" t="s">
        <v>145</v>
      </c>
      <c r="AZ33" s="220"/>
      <c r="BA33" s="230" t="s">
        <v>146</v>
      </c>
      <c r="BB33" s="232" t="s">
        <v>145</v>
      </c>
      <c r="BC33" s="230">
        <f>BC35+BC37</f>
        <v>0</v>
      </c>
      <c r="BD33" s="231" t="s">
        <v>146</v>
      </c>
      <c r="BE33" s="230" t="s">
        <v>145</v>
      </c>
      <c r="BF33" s="230">
        <f>BF35+BF37</f>
        <v>0</v>
      </c>
      <c r="BG33" s="230" t="s">
        <v>146</v>
      </c>
      <c r="BH33" s="232" t="s">
        <v>145</v>
      </c>
      <c r="BI33" s="220">
        <f aca="true" t="shared" si="12" ref="BI33:BI58">BC33+BF33</f>
        <v>0</v>
      </c>
      <c r="BJ33" s="230" t="s">
        <v>146</v>
      </c>
      <c r="BK33" s="233" t="s">
        <v>145</v>
      </c>
      <c r="BL33" s="230">
        <f>BL35+BL37</f>
        <v>0</v>
      </c>
      <c r="BM33" s="426" t="s">
        <v>146</v>
      </c>
      <c r="BN33" s="244"/>
      <c r="BO33" s="228"/>
    </row>
    <row r="34" spans="1:67" s="245" customFormat="1" ht="15.75" customHeight="1" thickBot="1">
      <c r="A34" s="706"/>
      <c r="B34" s="707"/>
      <c r="C34" s="236"/>
      <c r="D34" s="237">
        <f t="shared" si="8"/>
        <v>18474.601133</v>
      </c>
      <c r="E34" s="237"/>
      <c r="F34" s="238"/>
      <c r="G34" s="237">
        <f>G36+G38</f>
        <v>7594.538200000001</v>
      </c>
      <c r="H34" s="239"/>
      <c r="I34" s="237"/>
      <c r="J34" s="237">
        <f>J36+J38</f>
        <v>30.356633</v>
      </c>
      <c r="K34" s="237"/>
      <c r="L34" s="238"/>
      <c r="M34" s="237">
        <f t="shared" si="9"/>
        <v>7624.894833000001</v>
      </c>
      <c r="N34" s="237"/>
      <c r="O34" s="240"/>
      <c r="P34" s="237">
        <f>P36+P38</f>
        <v>10849.7063</v>
      </c>
      <c r="Q34" s="241"/>
      <c r="R34" s="246"/>
      <c r="S34" s="237">
        <f>AB34+AE34</f>
        <v>12372.868900000001</v>
      </c>
      <c r="T34" s="237"/>
      <c r="U34" s="238"/>
      <c r="V34" s="220">
        <f>V36+V38</f>
        <v>6471.915800000001</v>
      </c>
      <c r="W34" s="239"/>
      <c r="X34" s="237"/>
      <c r="Y34" s="237">
        <f>Y36+Y38</f>
        <v>20.7509</v>
      </c>
      <c r="Z34" s="237"/>
      <c r="AA34" s="238"/>
      <c r="AB34" s="237">
        <f t="shared" si="10"/>
        <v>6492.666700000001</v>
      </c>
      <c r="AC34" s="237"/>
      <c r="AD34" s="240"/>
      <c r="AE34" s="237">
        <f>AE36+AE38</f>
        <v>5880.2022</v>
      </c>
      <c r="AF34" s="247"/>
      <c r="AG34" s="224"/>
      <c r="AH34" s="246"/>
      <c r="AI34" s="276"/>
      <c r="AJ34" s="275"/>
      <c r="AK34" s="237">
        <f>AT34+AW34</f>
        <v>4663.274687</v>
      </c>
      <c r="AL34" s="237"/>
      <c r="AM34" s="238"/>
      <c r="AN34" s="237">
        <f>AN36+AN38</f>
        <v>101.58</v>
      </c>
      <c r="AO34" s="239"/>
      <c r="AP34" s="237"/>
      <c r="AQ34" s="237">
        <f>AQ36+AQ38</f>
        <v>8.056587</v>
      </c>
      <c r="AR34" s="237"/>
      <c r="AS34" s="238"/>
      <c r="AT34" s="237">
        <f t="shared" si="11"/>
        <v>109.63658699999999</v>
      </c>
      <c r="AU34" s="237"/>
      <c r="AV34" s="240"/>
      <c r="AW34" s="237">
        <f>AW36+AW38</f>
        <v>4553.6381</v>
      </c>
      <c r="AX34" s="241"/>
      <c r="AY34" s="246"/>
      <c r="AZ34" s="237">
        <f>BI34+BL34</f>
        <v>224.53789999999998</v>
      </c>
      <c r="BA34" s="237"/>
      <c r="BB34" s="238"/>
      <c r="BC34" s="237">
        <f>BC36+BC38</f>
        <v>160.4993</v>
      </c>
      <c r="BD34" s="239"/>
      <c r="BE34" s="237"/>
      <c r="BF34" s="248">
        <f>BF36+BF38</f>
        <v>0.3971</v>
      </c>
      <c r="BG34" s="237"/>
      <c r="BH34" s="238"/>
      <c r="BI34" s="237">
        <f t="shared" si="12"/>
        <v>160.8964</v>
      </c>
      <c r="BJ34" s="237"/>
      <c r="BK34" s="240"/>
      <c r="BL34" s="237">
        <f>BL36+BL38</f>
        <v>63.64149999999999</v>
      </c>
      <c r="BM34" s="241"/>
      <c r="BN34" s="249"/>
      <c r="BO34" s="228"/>
    </row>
    <row r="35" spans="1:67" ht="15.75" customHeight="1">
      <c r="A35" s="612">
        <f>A29+1</f>
        <v>29</v>
      </c>
      <c r="B35" s="613" t="s">
        <v>181</v>
      </c>
      <c r="C35" s="272" t="s">
        <v>145</v>
      </c>
      <c r="D35" s="209">
        <f t="shared" si="8"/>
        <v>1798.8813</v>
      </c>
      <c r="E35" s="209" t="s">
        <v>146</v>
      </c>
      <c r="F35" s="212" t="s">
        <v>145</v>
      </c>
      <c r="G35" s="209">
        <f>V35+AN35+BC35+その４!G35+その４!V35+その４!AM35+その４!BB35+その４!BT35+その４!CI35+その４!CY35</f>
        <v>89.66</v>
      </c>
      <c r="H35" s="423" t="s">
        <v>146</v>
      </c>
      <c r="I35" s="209" t="s">
        <v>145</v>
      </c>
      <c r="J35" s="209">
        <f>Y35+AQ35+BF35+その４!J35+その４!Y35+その４!AP35+その４!BE35+その４!BW35+その４!CL35+その４!DB35</f>
        <v>0</v>
      </c>
      <c r="K35" s="209" t="s">
        <v>146</v>
      </c>
      <c r="L35" s="212" t="s">
        <v>145</v>
      </c>
      <c r="M35" s="209">
        <f t="shared" si="9"/>
        <v>89.66</v>
      </c>
      <c r="N35" s="209" t="s">
        <v>146</v>
      </c>
      <c r="O35" s="427" t="s">
        <v>145</v>
      </c>
      <c r="P35" s="209">
        <f>AE35+AW35+BL35+その４!P35+その４!AV35+その４!BK35+その４!CC35+その４!CR35+その４!DH35</f>
        <v>1709.2213</v>
      </c>
      <c r="Q35" s="252" t="s">
        <v>146</v>
      </c>
      <c r="R35" s="208"/>
      <c r="S35" s="209"/>
      <c r="T35" s="209"/>
      <c r="U35" s="212"/>
      <c r="V35" s="214"/>
      <c r="W35" s="209"/>
      <c r="X35" s="212"/>
      <c r="Y35" s="209"/>
      <c r="Z35" s="209"/>
      <c r="AA35" s="212"/>
      <c r="AB35" s="209">
        <f t="shared" si="10"/>
        <v>0</v>
      </c>
      <c r="AC35" s="209"/>
      <c r="AD35" s="212"/>
      <c r="AE35" s="209"/>
      <c r="AF35" s="211"/>
      <c r="AG35" s="209"/>
      <c r="AH35" s="208" t="s">
        <v>145</v>
      </c>
      <c r="AI35" s="209"/>
      <c r="AJ35" s="208" t="s">
        <v>317</v>
      </c>
      <c r="AK35" s="209"/>
      <c r="AL35" s="209" t="s">
        <v>146</v>
      </c>
      <c r="AM35" s="212" t="s">
        <v>145</v>
      </c>
      <c r="AN35" s="209"/>
      <c r="AO35" s="209" t="s">
        <v>146</v>
      </c>
      <c r="AP35" s="212" t="s">
        <v>145</v>
      </c>
      <c r="AQ35" s="209"/>
      <c r="AR35" s="209" t="s">
        <v>146</v>
      </c>
      <c r="AS35" s="212" t="s">
        <v>145</v>
      </c>
      <c r="AT35" s="209">
        <f t="shared" si="11"/>
        <v>0</v>
      </c>
      <c r="AU35" s="209" t="s">
        <v>146</v>
      </c>
      <c r="AV35" s="212" t="s">
        <v>145</v>
      </c>
      <c r="AW35" s="209"/>
      <c r="AX35" s="209" t="s">
        <v>146</v>
      </c>
      <c r="AY35" s="208" t="s">
        <v>145</v>
      </c>
      <c r="AZ35" s="209"/>
      <c r="BA35" s="209" t="s">
        <v>146</v>
      </c>
      <c r="BB35" s="212" t="s">
        <v>145</v>
      </c>
      <c r="BC35" s="209"/>
      <c r="BD35" s="209" t="s">
        <v>146</v>
      </c>
      <c r="BE35" s="212" t="s">
        <v>145</v>
      </c>
      <c r="BF35" s="209"/>
      <c r="BG35" s="209" t="s">
        <v>146</v>
      </c>
      <c r="BH35" s="212" t="s">
        <v>145</v>
      </c>
      <c r="BI35" s="209">
        <f t="shared" si="12"/>
        <v>0</v>
      </c>
      <c r="BJ35" s="209" t="s">
        <v>146</v>
      </c>
      <c r="BK35" s="212" t="s">
        <v>145</v>
      </c>
      <c r="BL35" s="209"/>
      <c r="BM35" s="209" t="s">
        <v>146</v>
      </c>
      <c r="BN35" s="570">
        <f>BN29+1</f>
        <v>29</v>
      </c>
      <c r="BO35" s="199"/>
    </row>
    <row r="36" spans="1:67" ht="15.75" customHeight="1">
      <c r="A36" s="580"/>
      <c r="B36" s="611"/>
      <c r="C36" s="272"/>
      <c r="D36" s="254">
        <f t="shared" si="8"/>
        <v>8424.853567999999</v>
      </c>
      <c r="E36" s="209"/>
      <c r="F36" s="212"/>
      <c r="G36" s="254">
        <f>V36+AN36+BC36+その４!G36+その４!V36+その４!AM36+その４!BB36+その４!BT36+その４!CI36+その４!CY36</f>
        <v>1793.3432</v>
      </c>
      <c r="H36" s="423"/>
      <c r="I36" s="209"/>
      <c r="J36" s="254">
        <f>Y36+AQ36+BF36+その４!J36+その４!Y36+その４!AP36+その４!BE36+その４!BW36+その４!CL36+その４!DB36</f>
        <v>21.553767999999998</v>
      </c>
      <c r="K36" s="209"/>
      <c r="L36" s="212"/>
      <c r="M36" s="254">
        <f t="shared" si="9"/>
        <v>1814.896968</v>
      </c>
      <c r="N36" s="209"/>
      <c r="O36" s="427"/>
      <c r="P36" s="254">
        <f>AE36+AW36+BL36+その４!P36+その４!AV36+その４!BK36+その４!CC36+その４!CR36+その４!DH36</f>
        <v>6609.9565999999995</v>
      </c>
      <c r="Q36" s="252"/>
      <c r="R36" s="208"/>
      <c r="S36" s="254">
        <f>AB36+AE36</f>
        <v>6349.3297999999995</v>
      </c>
      <c r="T36" s="209"/>
      <c r="U36" s="212"/>
      <c r="V36" s="209">
        <v>1628.6782</v>
      </c>
      <c r="W36" s="209"/>
      <c r="X36" s="212"/>
      <c r="Y36" s="209">
        <f>15.0473+0.7615+1.0251</f>
        <v>16.8339</v>
      </c>
      <c r="Z36" s="209"/>
      <c r="AA36" s="212"/>
      <c r="AB36" s="254">
        <f t="shared" si="10"/>
        <v>1645.5121000000001</v>
      </c>
      <c r="AC36" s="209"/>
      <c r="AD36" s="212"/>
      <c r="AE36" s="209">
        <v>4703.8177</v>
      </c>
      <c r="AF36" s="211"/>
      <c r="AG36" s="209"/>
      <c r="AH36" s="208"/>
      <c r="AI36" s="209"/>
      <c r="AJ36" s="208"/>
      <c r="AK36" s="254">
        <f>AT36+AW36</f>
        <v>1585.718168</v>
      </c>
      <c r="AL36" s="209"/>
      <c r="AM36" s="212"/>
      <c r="AN36" s="209"/>
      <c r="AO36" s="209"/>
      <c r="AP36" s="212"/>
      <c r="AQ36" s="256">
        <f>0.2676+2.9966+1.095468</f>
        <v>4.359668</v>
      </c>
      <c r="AR36" s="209"/>
      <c r="AS36" s="212"/>
      <c r="AT36" s="254">
        <f t="shared" si="11"/>
        <v>4.359668</v>
      </c>
      <c r="AU36" s="209"/>
      <c r="AV36" s="212"/>
      <c r="AW36" s="209">
        <v>1581.3585</v>
      </c>
      <c r="AX36" s="209"/>
      <c r="AY36" s="208"/>
      <c r="AZ36" s="254">
        <f>BI36+BL36</f>
        <v>39.6448</v>
      </c>
      <c r="BA36" s="209"/>
      <c r="BB36" s="212"/>
      <c r="BC36" s="209"/>
      <c r="BD36" s="209"/>
      <c r="BE36" s="212"/>
      <c r="BF36" s="270">
        <f>0.0717</f>
        <v>0.0717</v>
      </c>
      <c r="BG36" s="209"/>
      <c r="BH36" s="212"/>
      <c r="BI36" s="254">
        <f t="shared" si="12"/>
        <v>0.0717</v>
      </c>
      <c r="BJ36" s="209"/>
      <c r="BK36" s="212"/>
      <c r="BL36" s="209">
        <v>39.5731</v>
      </c>
      <c r="BM36" s="209"/>
      <c r="BN36" s="571"/>
      <c r="BO36" s="199"/>
    </row>
    <row r="37" spans="1:67" ht="15.75" customHeight="1">
      <c r="A37" s="579">
        <f>A35+1</f>
        <v>30</v>
      </c>
      <c r="B37" s="578" t="s">
        <v>182</v>
      </c>
      <c r="C37" s="273" t="s">
        <v>145</v>
      </c>
      <c r="D37" s="209">
        <f t="shared" si="8"/>
        <v>183.7039</v>
      </c>
      <c r="E37" s="258" t="s">
        <v>146</v>
      </c>
      <c r="F37" s="259" t="s">
        <v>145</v>
      </c>
      <c r="G37" s="209">
        <f>V37+AN37+BC37+その４!G37+その４!V37+その４!AM37+その４!BB37+その４!BT37+その４!CI37+その４!CY37</f>
        <v>171.4668</v>
      </c>
      <c r="H37" s="429" t="s">
        <v>146</v>
      </c>
      <c r="I37" s="258" t="s">
        <v>145</v>
      </c>
      <c r="J37" s="209">
        <f>Y37+AQ37+BF37+その４!J37+その４!Y37+その４!AP37+その４!BE37+その４!BW37+その４!CL37+その４!DB37</f>
        <v>0</v>
      </c>
      <c r="K37" s="258" t="s">
        <v>146</v>
      </c>
      <c r="L37" s="259" t="s">
        <v>145</v>
      </c>
      <c r="M37" s="209">
        <f t="shared" si="9"/>
        <v>171.4668</v>
      </c>
      <c r="N37" s="258" t="s">
        <v>146</v>
      </c>
      <c r="O37" s="430" t="s">
        <v>145</v>
      </c>
      <c r="P37" s="209">
        <f>AE37+AW37+BL37+その４!P37+その４!AV37+その４!BK37+その４!CC37+その４!CR37+その４!DH37</f>
        <v>12.2371</v>
      </c>
      <c r="Q37" s="260" t="s">
        <v>146</v>
      </c>
      <c r="R37" s="261"/>
      <c r="S37" s="209"/>
      <c r="T37" s="258"/>
      <c r="U37" s="259"/>
      <c r="V37" s="258"/>
      <c r="W37" s="258"/>
      <c r="X37" s="259"/>
      <c r="Y37" s="258"/>
      <c r="Z37" s="258"/>
      <c r="AA37" s="259"/>
      <c r="AB37" s="209">
        <f t="shared" si="10"/>
        <v>0</v>
      </c>
      <c r="AC37" s="258"/>
      <c r="AD37" s="259"/>
      <c r="AE37" s="258"/>
      <c r="AF37" s="262"/>
      <c r="AG37" s="209"/>
      <c r="AH37" s="261" t="s">
        <v>145</v>
      </c>
      <c r="AI37" s="209"/>
      <c r="AJ37" s="261" t="s">
        <v>314</v>
      </c>
      <c r="AK37" s="209"/>
      <c r="AL37" s="258" t="s">
        <v>146</v>
      </c>
      <c r="AM37" s="259" t="s">
        <v>145</v>
      </c>
      <c r="AN37" s="258"/>
      <c r="AO37" s="258" t="s">
        <v>146</v>
      </c>
      <c r="AP37" s="259" t="s">
        <v>145</v>
      </c>
      <c r="AQ37" s="258"/>
      <c r="AR37" s="258" t="s">
        <v>146</v>
      </c>
      <c r="AS37" s="259" t="s">
        <v>145</v>
      </c>
      <c r="AT37" s="209">
        <f t="shared" si="11"/>
        <v>0</v>
      </c>
      <c r="AU37" s="258" t="s">
        <v>146</v>
      </c>
      <c r="AV37" s="259" t="s">
        <v>145</v>
      </c>
      <c r="AW37" s="258"/>
      <c r="AX37" s="258" t="s">
        <v>146</v>
      </c>
      <c r="AY37" s="261" t="s">
        <v>145</v>
      </c>
      <c r="AZ37" s="209"/>
      <c r="BA37" s="258" t="s">
        <v>146</v>
      </c>
      <c r="BB37" s="259" t="s">
        <v>145</v>
      </c>
      <c r="BC37" s="258"/>
      <c r="BD37" s="258" t="s">
        <v>146</v>
      </c>
      <c r="BE37" s="259" t="s">
        <v>145</v>
      </c>
      <c r="BF37" s="258"/>
      <c r="BG37" s="258" t="s">
        <v>146</v>
      </c>
      <c r="BH37" s="259" t="s">
        <v>145</v>
      </c>
      <c r="BI37" s="209">
        <f t="shared" si="12"/>
        <v>0</v>
      </c>
      <c r="BJ37" s="258" t="s">
        <v>146</v>
      </c>
      <c r="BK37" s="259" t="s">
        <v>145</v>
      </c>
      <c r="BL37" s="258"/>
      <c r="BM37" s="258" t="s">
        <v>146</v>
      </c>
      <c r="BN37" s="584">
        <f>BN35+1</f>
        <v>30</v>
      </c>
      <c r="BO37" s="199"/>
    </row>
    <row r="38" spans="1:67" ht="15.75" customHeight="1" thickBot="1">
      <c r="A38" s="580"/>
      <c r="B38" s="611"/>
      <c r="C38" s="274"/>
      <c r="D38" s="217">
        <f t="shared" si="8"/>
        <v>10049.747565000001</v>
      </c>
      <c r="E38" s="254"/>
      <c r="F38" s="255"/>
      <c r="G38" s="254">
        <f>V38+AN38+BC38+その４!G38+その４!V38+その４!AM38+その４!BB38+その４!BT38+その４!CI38+その４!CY38</f>
        <v>5801.195000000001</v>
      </c>
      <c r="H38" s="428"/>
      <c r="I38" s="254"/>
      <c r="J38" s="217">
        <f>Y38+AQ38+BF38+その４!J38+その４!Y38+その４!AP38+その４!BE38+その４!BW38+その４!CL38+その４!DB38</f>
        <v>8.802865</v>
      </c>
      <c r="K38" s="254"/>
      <c r="L38" s="255"/>
      <c r="M38" s="254">
        <f t="shared" si="9"/>
        <v>5809.997865</v>
      </c>
      <c r="N38" s="254"/>
      <c r="O38" s="431"/>
      <c r="P38" s="254">
        <f>AE38+AW38+BL38+その４!P38+その４!AV38+その４!BK38+その４!CC38+その４!CR38+その４!DH38</f>
        <v>4239.7497</v>
      </c>
      <c r="Q38" s="263"/>
      <c r="R38" s="264"/>
      <c r="S38" s="217">
        <f>AB38+AE38</f>
        <v>6023.539100000001</v>
      </c>
      <c r="T38" s="254"/>
      <c r="U38" s="255"/>
      <c r="V38" s="254">
        <v>4843.2376</v>
      </c>
      <c r="W38" s="254"/>
      <c r="X38" s="255"/>
      <c r="Y38" s="256">
        <f>0.2814+3.6356</f>
        <v>3.9170000000000003</v>
      </c>
      <c r="Z38" s="254"/>
      <c r="AA38" s="255"/>
      <c r="AB38" s="254">
        <f t="shared" si="10"/>
        <v>4847.154600000001</v>
      </c>
      <c r="AC38" s="254"/>
      <c r="AD38" s="255"/>
      <c r="AE38" s="710">
        <v>1176.3845</v>
      </c>
      <c r="AF38" s="265"/>
      <c r="AG38" s="209"/>
      <c r="AH38" s="264"/>
      <c r="AI38" s="209"/>
      <c r="AJ38" s="264"/>
      <c r="AK38" s="217">
        <f>AT38+AW38</f>
        <v>3077.5565189999998</v>
      </c>
      <c r="AL38" s="254"/>
      <c r="AM38" s="255"/>
      <c r="AN38" s="254">
        <v>101.58</v>
      </c>
      <c r="AO38" s="254"/>
      <c r="AP38" s="255"/>
      <c r="AQ38" s="254">
        <f>0.369635+3.327284</f>
        <v>3.6969190000000003</v>
      </c>
      <c r="AR38" s="254"/>
      <c r="AS38" s="255"/>
      <c r="AT38" s="254">
        <f t="shared" si="11"/>
        <v>105.27691899999999</v>
      </c>
      <c r="AU38" s="254"/>
      <c r="AV38" s="255"/>
      <c r="AW38" s="710">
        <v>2972.2796</v>
      </c>
      <c r="AX38" s="254"/>
      <c r="AY38" s="264"/>
      <c r="AZ38" s="217">
        <f>BI38+BL38</f>
        <v>184.8931</v>
      </c>
      <c r="BA38" s="254"/>
      <c r="BB38" s="255"/>
      <c r="BC38" s="254">
        <v>160.4993</v>
      </c>
      <c r="BD38" s="254"/>
      <c r="BE38" s="255"/>
      <c r="BF38" s="270">
        <f>0.3254</f>
        <v>0.3254</v>
      </c>
      <c r="BG38" s="254"/>
      <c r="BH38" s="255"/>
      <c r="BI38" s="217">
        <f t="shared" si="12"/>
        <v>160.8247</v>
      </c>
      <c r="BJ38" s="254"/>
      <c r="BK38" s="255"/>
      <c r="BL38" s="254">
        <v>24.0684</v>
      </c>
      <c r="BM38" s="254"/>
      <c r="BN38" s="571"/>
      <c r="BO38" s="199"/>
    </row>
    <row r="39" spans="1:67" s="245" customFormat="1" ht="15.75" customHeight="1">
      <c r="A39" s="569"/>
      <c r="B39" s="568" t="s">
        <v>292</v>
      </c>
      <c r="C39" s="271" t="s">
        <v>145</v>
      </c>
      <c r="D39" s="220">
        <f t="shared" si="8"/>
        <v>487.99789999999996</v>
      </c>
      <c r="E39" s="230" t="s">
        <v>146</v>
      </c>
      <c r="F39" s="232" t="s">
        <v>145</v>
      </c>
      <c r="G39" s="230">
        <f>G41+G43+G45+G47</f>
        <v>0</v>
      </c>
      <c r="H39" s="231" t="s">
        <v>146</v>
      </c>
      <c r="I39" s="230" t="s">
        <v>145</v>
      </c>
      <c r="J39" s="230">
        <f>J41+J43+J45+J47</f>
        <v>0.57</v>
      </c>
      <c r="K39" s="230" t="s">
        <v>146</v>
      </c>
      <c r="L39" s="232" t="s">
        <v>145</v>
      </c>
      <c r="M39" s="230">
        <f t="shared" si="9"/>
        <v>0.57</v>
      </c>
      <c r="N39" s="230" t="s">
        <v>146</v>
      </c>
      <c r="O39" s="233" t="s">
        <v>145</v>
      </c>
      <c r="P39" s="230">
        <f>P41+P43+P45+P47</f>
        <v>487.42789999999997</v>
      </c>
      <c r="Q39" s="426" t="s">
        <v>146</v>
      </c>
      <c r="R39" s="229"/>
      <c r="S39" s="220"/>
      <c r="T39" s="230"/>
      <c r="U39" s="232"/>
      <c r="V39" s="230">
        <f>V41+V43+V45+V47</f>
        <v>0</v>
      </c>
      <c r="W39" s="231"/>
      <c r="X39" s="230"/>
      <c r="Y39" s="230">
        <f>Y41+Y43+Y45+Y47</f>
        <v>0</v>
      </c>
      <c r="Z39" s="230"/>
      <c r="AA39" s="232"/>
      <c r="AB39" s="230">
        <f t="shared" si="10"/>
        <v>0</v>
      </c>
      <c r="AC39" s="230"/>
      <c r="AD39" s="233"/>
      <c r="AE39" s="230">
        <f>AE41+AE43+AE45+AE47</f>
        <v>0</v>
      </c>
      <c r="AF39" s="234"/>
      <c r="AG39" s="224"/>
      <c r="AH39" s="229" t="s">
        <v>145</v>
      </c>
      <c r="AI39" s="276"/>
      <c r="AJ39" s="434" t="s">
        <v>327</v>
      </c>
      <c r="AK39" s="220"/>
      <c r="AL39" s="230" t="s">
        <v>146</v>
      </c>
      <c r="AM39" s="232" t="s">
        <v>145</v>
      </c>
      <c r="AN39" s="230">
        <f>AN41+AN43+AN45+AN47</f>
        <v>0</v>
      </c>
      <c r="AO39" s="231" t="s">
        <v>146</v>
      </c>
      <c r="AP39" s="230" t="s">
        <v>145</v>
      </c>
      <c r="AQ39" s="230">
        <f>AQ41+AQ43+AQ45+AQ47</f>
        <v>0</v>
      </c>
      <c r="AR39" s="230" t="s">
        <v>146</v>
      </c>
      <c r="AS39" s="232" t="s">
        <v>145</v>
      </c>
      <c r="AT39" s="230">
        <f t="shared" si="11"/>
        <v>0</v>
      </c>
      <c r="AU39" s="230" t="s">
        <v>146</v>
      </c>
      <c r="AV39" s="233" t="s">
        <v>145</v>
      </c>
      <c r="AW39" s="230">
        <f>AW41+AW43+AW45+AW47</f>
        <v>0</v>
      </c>
      <c r="AX39" s="426" t="s">
        <v>146</v>
      </c>
      <c r="AY39" s="229" t="s">
        <v>145</v>
      </c>
      <c r="AZ39" s="220"/>
      <c r="BA39" s="230" t="s">
        <v>146</v>
      </c>
      <c r="BB39" s="232" t="s">
        <v>145</v>
      </c>
      <c r="BC39" s="230">
        <f>BC41+BC43+BC45+BC47</f>
        <v>0</v>
      </c>
      <c r="BD39" s="231" t="s">
        <v>146</v>
      </c>
      <c r="BE39" s="230" t="s">
        <v>145</v>
      </c>
      <c r="BF39" s="287"/>
      <c r="BG39" s="230" t="s">
        <v>146</v>
      </c>
      <c r="BH39" s="232" t="s">
        <v>145</v>
      </c>
      <c r="BI39" s="220">
        <f t="shared" si="12"/>
        <v>0</v>
      </c>
      <c r="BJ39" s="230" t="s">
        <v>146</v>
      </c>
      <c r="BK39" s="233" t="s">
        <v>145</v>
      </c>
      <c r="BL39" s="230">
        <f>BL41+BL43+BL45+BL47</f>
        <v>0</v>
      </c>
      <c r="BM39" s="426" t="s">
        <v>146</v>
      </c>
      <c r="BN39" s="244"/>
      <c r="BO39" s="228"/>
    </row>
    <row r="40" spans="1:67" s="245" customFormat="1" ht="15.75" customHeight="1" thickBot="1">
      <c r="A40" s="706"/>
      <c r="B40" s="707"/>
      <c r="C40" s="236"/>
      <c r="D40" s="237">
        <f t="shared" si="8"/>
        <v>17765.851478999997</v>
      </c>
      <c r="E40" s="237"/>
      <c r="F40" s="238"/>
      <c r="G40" s="237">
        <f>G42+G44+G46+G48</f>
        <v>7592.0885</v>
      </c>
      <c r="H40" s="239"/>
      <c r="I40" s="237"/>
      <c r="J40" s="237">
        <f>J42+J44+J46+J48</f>
        <v>17.584679</v>
      </c>
      <c r="K40" s="237"/>
      <c r="L40" s="238"/>
      <c r="M40" s="237">
        <f t="shared" si="9"/>
        <v>7609.673178999999</v>
      </c>
      <c r="N40" s="237"/>
      <c r="O40" s="240"/>
      <c r="P40" s="237">
        <f>P42+P44+P46+P48</f>
        <v>10156.1783</v>
      </c>
      <c r="Q40" s="241"/>
      <c r="R40" s="246"/>
      <c r="S40" s="237">
        <f>AB40+AE40</f>
        <v>13284.293999999998</v>
      </c>
      <c r="T40" s="237"/>
      <c r="U40" s="238"/>
      <c r="V40" s="237">
        <f>V42+V44+V46+V48</f>
        <v>7227.768599999999</v>
      </c>
      <c r="W40" s="239"/>
      <c r="X40" s="237"/>
      <c r="Y40" s="237">
        <f>Y42+Y44+Y46+Y48</f>
        <v>7.1183000000000005</v>
      </c>
      <c r="Z40" s="237"/>
      <c r="AA40" s="238"/>
      <c r="AB40" s="237">
        <f t="shared" si="10"/>
        <v>7234.8868999999995</v>
      </c>
      <c r="AC40" s="237"/>
      <c r="AD40" s="240"/>
      <c r="AE40" s="237">
        <f>AE42+AE44+AE46+AE48</f>
        <v>6049.407099999999</v>
      </c>
      <c r="AF40" s="247"/>
      <c r="AG40" s="224"/>
      <c r="AH40" s="246"/>
      <c r="AI40" s="276"/>
      <c r="AJ40" s="275"/>
      <c r="AK40" s="237">
        <f>AT40+AW40</f>
        <v>4125.610768</v>
      </c>
      <c r="AL40" s="237"/>
      <c r="AM40" s="238"/>
      <c r="AN40" s="237">
        <f>AN42+AN44+AN46+AN48</f>
        <v>365.61990000000003</v>
      </c>
      <c r="AO40" s="239"/>
      <c r="AP40" s="237"/>
      <c r="AQ40" s="237">
        <f>AQ42+AQ44+AQ46+AQ48</f>
        <v>9.197768</v>
      </c>
      <c r="AR40" s="237"/>
      <c r="AS40" s="238"/>
      <c r="AT40" s="237">
        <f t="shared" si="11"/>
        <v>374.817668</v>
      </c>
      <c r="AU40" s="237"/>
      <c r="AV40" s="240"/>
      <c r="AW40" s="237">
        <f>AW42+AW44+AW46+AW48</f>
        <v>3750.7931</v>
      </c>
      <c r="AX40" s="241"/>
      <c r="AY40" s="246"/>
      <c r="AZ40" s="237">
        <f>BI40+BL40</f>
        <v>50.281611</v>
      </c>
      <c r="BA40" s="237"/>
      <c r="BB40" s="238"/>
      <c r="BC40" s="237">
        <f>BC42+BC44+BC46+BC48</f>
        <v>0</v>
      </c>
      <c r="BD40" s="239"/>
      <c r="BE40" s="237"/>
      <c r="BF40" s="248">
        <f>BF42+BF44+BF46+BF48</f>
        <v>0.268611</v>
      </c>
      <c r="BG40" s="237"/>
      <c r="BH40" s="238"/>
      <c r="BI40" s="237">
        <f t="shared" si="12"/>
        <v>0.268611</v>
      </c>
      <c r="BJ40" s="237"/>
      <c r="BK40" s="240"/>
      <c r="BL40" s="237">
        <f>BL42+BL44+BL46+BL48</f>
        <v>50.013</v>
      </c>
      <c r="BM40" s="241"/>
      <c r="BN40" s="249"/>
      <c r="BO40" s="228"/>
    </row>
    <row r="41" spans="1:67" ht="15.75" customHeight="1">
      <c r="A41" s="612">
        <f>A37+1</f>
        <v>31</v>
      </c>
      <c r="B41" s="613" t="s">
        <v>183</v>
      </c>
      <c r="C41" s="272" t="s">
        <v>145</v>
      </c>
      <c r="D41" s="209">
        <f t="shared" si="8"/>
        <v>364.2306</v>
      </c>
      <c r="E41" s="209" t="s">
        <v>146</v>
      </c>
      <c r="F41" s="212" t="s">
        <v>145</v>
      </c>
      <c r="G41" s="209">
        <f>V41+AN41+BC41+その４!G41+その４!V41+その４!AM41+その４!BB41+その４!BT41+その４!CI41+その４!CY41</f>
        <v>0</v>
      </c>
      <c r="H41" s="423" t="s">
        <v>146</v>
      </c>
      <c r="I41" s="209" t="s">
        <v>145</v>
      </c>
      <c r="J41" s="209">
        <f>Y41+AQ41+BF41+その４!J41+その４!Y41+その４!AP41+その４!BE41+その４!BW41+その４!CL41+その４!DB41</f>
        <v>0</v>
      </c>
      <c r="K41" s="209" t="s">
        <v>146</v>
      </c>
      <c r="L41" s="212" t="s">
        <v>145</v>
      </c>
      <c r="M41" s="209">
        <f t="shared" si="9"/>
        <v>0</v>
      </c>
      <c r="N41" s="209" t="s">
        <v>146</v>
      </c>
      <c r="O41" s="427" t="s">
        <v>145</v>
      </c>
      <c r="P41" s="214">
        <f>AE41+AW41+BL41+その４!P41+その４!AE41+その４!AV41+その４!BK41+その４!CC41+その４!CR41+その４!DH41</f>
        <v>364.2306</v>
      </c>
      <c r="Q41" s="252" t="s">
        <v>146</v>
      </c>
      <c r="R41" s="208"/>
      <c r="S41" s="209"/>
      <c r="T41" s="209"/>
      <c r="U41" s="212"/>
      <c r="V41" s="209"/>
      <c r="W41" s="209"/>
      <c r="X41" s="212"/>
      <c r="Y41" s="209"/>
      <c r="Z41" s="209"/>
      <c r="AA41" s="212"/>
      <c r="AB41" s="209">
        <f t="shared" si="10"/>
        <v>0</v>
      </c>
      <c r="AC41" s="209"/>
      <c r="AD41" s="212"/>
      <c r="AE41" s="209"/>
      <c r="AF41" s="211"/>
      <c r="AG41" s="209"/>
      <c r="AH41" s="208" t="s">
        <v>145</v>
      </c>
      <c r="AI41" s="209"/>
      <c r="AJ41" s="208" t="s">
        <v>327</v>
      </c>
      <c r="AK41" s="209"/>
      <c r="AL41" s="209" t="s">
        <v>146</v>
      </c>
      <c r="AM41" s="212" t="s">
        <v>145</v>
      </c>
      <c r="AN41" s="209"/>
      <c r="AO41" s="209" t="s">
        <v>146</v>
      </c>
      <c r="AP41" s="212" t="s">
        <v>145</v>
      </c>
      <c r="AQ41" s="209"/>
      <c r="AR41" s="209" t="s">
        <v>146</v>
      </c>
      <c r="AS41" s="212" t="s">
        <v>145</v>
      </c>
      <c r="AT41" s="209">
        <f t="shared" si="11"/>
        <v>0</v>
      </c>
      <c r="AU41" s="209" t="s">
        <v>146</v>
      </c>
      <c r="AV41" s="212" t="s">
        <v>145</v>
      </c>
      <c r="AW41" s="209"/>
      <c r="AX41" s="209" t="s">
        <v>146</v>
      </c>
      <c r="AY41" s="208" t="s">
        <v>145</v>
      </c>
      <c r="AZ41" s="209"/>
      <c r="BA41" s="209" t="s">
        <v>146</v>
      </c>
      <c r="BB41" s="212" t="s">
        <v>145</v>
      </c>
      <c r="BC41" s="209"/>
      <c r="BD41" s="209" t="s">
        <v>146</v>
      </c>
      <c r="BE41" s="212" t="s">
        <v>145</v>
      </c>
      <c r="BF41" s="270"/>
      <c r="BG41" s="209" t="s">
        <v>146</v>
      </c>
      <c r="BH41" s="212" t="s">
        <v>145</v>
      </c>
      <c r="BI41" s="209">
        <f t="shared" si="12"/>
        <v>0</v>
      </c>
      <c r="BJ41" s="209" t="s">
        <v>146</v>
      </c>
      <c r="BK41" s="212" t="s">
        <v>145</v>
      </c>
      <c r="BL41" s="209"/>
      <c r="BM41" s="209" t="s">
        <v>146</v>
      </c>
      <c r="BN41" s="570">
        <f>30+1</f>
        <v>31</v>
      </c>
      <c r="BO41" s="199"/>
    </row>
    <row r="42" spans="1:67" ht="15.75" customHeight="1">
      <c r="A42" s="580"/>
      <c r="B42" s="611"/>
      <c r="C42" s="272"/>
      <c r="D42" s="254">
        <f t="shared" si="8"/>
        <v>2749.823611</v>
      </c>
      <c r="E42" s="209"/>
      <c r="F42" s="212"/>
      <c r="G42" s="254">
        <f>V42+AL42+BA42+その３!G42+その３!V42+その３!AL42+その３!BA42+その３!BS42+その３!CH42+その３!CX42</f>
        <v>0</v>
      </c>
      <c r="H42" s="423"/>
      <c r="I42" s="209"/>
      <c r="J42" s="254">
        <f>Y42+AQ42+BF42+その４!J42+その４!Y42+その４!AP42+その４!BE42+その４!BW42+その４!CL42+その４!DB42</f>
        <v>1.464611</v>
      </c>
      <c r="K42" s="209"/>
      <c r="L42" s="212"/>
      <c r="M42" s="254">
        <f t="shared" si="9"/>
        <v>1.464611</v>
      </c>
      <c r="N42" s="209"/>
      <c r="O42" s="427"/>
      <c r="P42" s="254">
        <f>AE42+AW42+BL42+その４!P42+その４!AE42+その４!AV42+その４!BK42+その４!CC42+その４!CR42+その４!DH42</f>
        <v>2748.359</v>
      </c>
      <c r="Q42" s="252"/>
      <c r="R42" s="208"/>
      <c r="S42" s="254">
        <f>AB42+AE42</f>
        <v>1367.1726</v>
      </c>
      <c r="T42" s="209"/>
      <c r="U42" s="212"/>
      <c r="V42" s="209"/>
      <c r="W42" s="209"/>
      <c r="X42" s="212"/>
      <c r="Y42" s="209"/>
      <c r="Z42" s="209"/>
      <c r="AA42" s="212"/>
      <c r="AB42" s="254">
        <f t="shared" si="10"/>
        <v>0</v>
      </c>
      <c r="AC42" s="209"/>
      <c r="AD42" s="212"/>
      <c r="AE42" s="209">
        <v>1367.1726</v>
      </c>
      <c r="AF42" s="211"/>
      <c r="AG42" s="209"/>
      <c r="AH42" s="208"/>
      <c r="AI42" s="209"/>
      <c r="AJ42" s="208"/>
      <c r="AK42" s="254">
        <f>AT42+AW42</f>
        <v>1063.969</v>
      </c>
      <c r="AL42" s="209"/>
      <c r="AM42" s="212"/>
      <c r="AN42" s="209">
        <v>6.47</v>
      </c>
      <c r="AO42" s="209"/>
      <c r="AP42" s="212"/>
      <c r="AQ42" s="270">
        <f>0.0223+0.1691+0.2162</f>
        <v>0.4076</v>
      </c>
      <c r="AR42" s="209"/>
      <c r="AS42" s="212"/>
      <c r="AT42" s="254">
        <f t="shared" si="11"/>
        <v>6.8776</v>
      </c>
      <c r="AU42" s="209"/>
      <c r="AV42" s="212"/>
      <c r="AW42" s="708">
        <v>1057.0914</v>
      </c>
      <c r="AX42" s="209"/>
      <c r="AY42" s="208"/>
      <c r="AZ42" s="254">
        <f>BI42+BL42</f>
        <v>18.196111</v>
      </c>
      <c r="BA42" s="209"/>
      <c r="BB42" s="212"/>
      <c r="BC42" s="209"/>
      <c r="BD42" s="209"/>
      <c r="BE42" s="212"/>
      <c r="BF42" s="270">
        <f>0.057011</f>
        <v>0.057011</v>
      </c>
      <c r="BG42" s="209"/>
      <c r="BH42" s="212"/>
      <c r="BI42" s="254">
        <f t="shared" si="12"/>
        <v>0.057011</v>
      </c>
      <c r="BJ42" s="209"/>
      <c r="BK42" s="212"/>
      <c r="BL42" s="209">
        <v>18.1391</v>
      </c>
      <c r="BM42" s="209"/>
      <c r="BN42" s="571"/>
      <c r="BO42" s="199"/>
    </row>
    <row r="43" spans="1:67" ht="15.75" customHeight="1">
      <c r="A43" s="579">
        <f>A41+1</f>
        <v>32</v>
      </c>
      <c r="B43" s="578" t="s">
        <v>184</v>
      </c>
      <c r="C43" s="273" t="s">
        <v>145</v>
      </c>
      <c r="D43" s="209">
        <f t="shared" si="8"/>
        <v>0</v>
      </c>
      <c r="E43" s="258" t="s">
        <v>146</v>
      </c>
      <c r="F43" s="259" t="s">
        <v>145</v>
      </c>
      <c r="G43" s="209">
        <f>V43+AN43+BC43+その４!G43+その４!V43+その４!AM43+その４!BB43+その４!BT43+その４!CI43+その４!CY43</f>
        <v>0</v>
      </c>
      <c r="H43" s="429" t="s">
        <v>146</v>
      </c>
      <c r="I43" s="258" t="s">
        <v>145</v>
      </c>
      <c r="J43" s="209">
        <f>Y43+AQ43+BF43+その４!J43+その４!Y43+その４!AP43+その４!BE43+その４!BW43+その４!CL43+その４!DB43</f>
        <v>0</v>
      </c>
      <c r="K43" s="258" t="s">
        <v>146</v>
      </c>
      <c r="L43" s="259" t="s">
        <v>145</v>
      </c>
      <c r="M43" s="209">
        <f t="shared" si="9"/>
        <v>0</v>
      </c>
      <c r="N43" s="258" t="s">
        <v>146</v>
      </c>
      <c r="O43" s="430" t="s">
        <v>145</v>
      </c>
      <c r="P43" s="258">
        <f>AE43+AW43+BL43+その４!P43+その４!AE43+その４!AV43+その４!BK43+その４!CC43+その４!CR43+その４!DH43</f>
        <v>0</v>
      </c>
      <c r="Q43" s="260" t="s">
        <v>146</v>
      </c>
      <c r="R43" s="261"/>
      <c r="S43" s="209"/>
      <c r="T43" s="258"/>
      <c r="U43" s="259"/>
      <c r="V43" s="258"/>
      <c r="W43" s="258"/>
      <c r="X43" s="259"/>
      <c r="Y43" s="258"/>
      <c r="Z43" s="258"/>
      <c r="AA43" s="259"/>
      <c r="AB43" s="209">
        <f t="shared" si="10"/>
        <v>0</v>
      </c>
      <c r="AC43" s="258"/>
      <c r="AD43" s="259"/>
      <c r="AE43" s="258"/>
      <c r="AF43" s="262"/>
      <c r="AG43" s="209"/>
      <c r="AH43" s="261" t="s">
        <v>145</v>
      </c>
      <c r="AI43" s="209"/>
      <c r="AJ43" s="261" t="s">
        <v>328</v>
      </c>
      <c r="AK43" s="209"/>
      <c r="AL43" s="258" t="s">
        <v>146</v>
      </c>
      <c r="AM43" s="259" t="s">
        <v>145</v>
      </c>
      <c r="AN43" s="258"/>
      <c r="AO43" s="258" t="s">
        <v>146</v>
      </c>
      <c r="AP43" s="259" t="s">
        <v>145</v>
      </c>
      <c r="AQ43" s="258"/>
      <c r="AR43" s="258" t="s">
        <v>146</v>
      </c>
      <c r="AS43" s="259" t="s">
        <v>145</v>
      </c>
      <c r="AT43" s="209">
        <f t="shared" si="11"/>
        <v>0</v>
      </c>
      <c r="AU43" s="258" t="s">
        <v>146</v>
      </c>
      <c r="AV43" s="259" t="s">
        <v>145</v>
      </c>
      <c r="AW43" s="258"/>
      <c r="AX43" s="258" t="s">
        <v>146</v>
      </c>
      <c r="AY43" s="261" t="s">
        <v>145</v>
      </c>
      <c r="AZ43" s="209"/>
      <c r="BA43" s="258" t="s">
        <v>146</v>
      </c>
      <c r="BB43" s="259" t="s">
        <v>145</v>
      </c>
      <c r="BC43" s="258"/>
      <c r="BD43" s="258" t="s">
        <v>146</v>
      </c>
      <c r="BE43" s="259" t="s">
        <v>145</v>
      </c>
      <c r="BF43" s="288"/>
      <c r="BG43" s="258" t="s">
        <v>146</v>
      </c>
      <c r="BH43" s="259" t="s">
        <v>145</v>
      </c>
      <c r="BI43" s="209">
        <f t="shared" si="12"/>
        <v>0</v>
      </c>
      <c r="BJ43" s="258" t="s">
        <v>146</v>
      </c>
      <c r="BK43" s="259" t="s">
        <v>145</v>
      </c>
      <c r="BL43" s="258"/>
      <c r="BM43" s="258" t="s">
        <v>146</v>
      </c>
      <c r="BN43" s="584">
        <f>BN41+1</f>
        <v>32</v>
      </c>
      <c r="BO43" s="199"/>
    </row>
    <row r="44" spans="1:67" ht="15.75" customHeight="1">
      <c r="A44" s="580"/>
      <c r="B44" s="611"/>
      <c r="C44" s="274"/>
      <c r="D44" s="254">
        <f t="shared" si="8"/>
        <v>119.649211</v>
      </c>
      <c r="E44" s="254"/>
      <c r="F44" s="255"/>
      <c r="G44" s="254">
        <f>V44+AL44+BA44+その３!G44+その３!V44+その３!AL44+その３!BA44+その３!BS44+その３!CH44+その３!CX44</f>
        <v>4.14</v>
      </c>
      <c r="H44" s="428"/>
      <c r="I44" s="254"/>
      <c r="J44" s="254">
        <f>Y44+AQ44+BF44+その４!J44+その４!Y44+その４!AP44+その４!BE44+その４!BW44+その４!CL44+その４!DB44</f>
        <v>0.034011</v>
      </c>
      <c r="K44" s="254"/>
      <c r="L44" s="255"/>
      <c r="M44" s="254">
        <f t="shared" si="9"/>
        <v>4.174010999999999</v>
      </c>
      <c r="N44" s="254"/>
      <c r="O44" s="431"/>
      <c r="P44" s="254">
        <f>AE44+AW44+BL44+その４!P44+その４!AE44+その４!AV44+その４!BK44+その４!CC44+その４!CR44+その４!DH44</f>
        <v>115.4752</v>
      </c>
      <c r="Q44" s="263"/>
      <c r="R44" s="264"/>
      <c r="S44" s="254">
        <f>AB44+AE44</f>
        <v>0</v>
      </c>
      <c r="T44" s="254"/>
      <c r="U44" s="255"/>
      <c r="V44" s="254"/>
      <c r="W44" s="254"/>
      <c r="X44" s="255"/>
      <c r="Y44" s="254"/>
      <c r="Z44" s="254"/>
      <c r="AA44" s="255"/>
      <c r="AB44" s="254">
        <f t="shared" si="10"/>
        <v>0</v>
      </c>
      <c r="AC44" s="254"/>
      <c r="AD44" s="255"/>
      <c r="AE44" s="254"/>
      <c r="AF44" s="265"/>
      <c r="AG44" s="209"/>
      <c r="AH44" s="264"/>
      <c r="AI44" s="209"/>
      <c r="AJ44" s="264"/>
      <c r="AK44" s="254">
        <f>AT44+AW44</f>
        <v>107.665311</v>
      </c>
      <c r="AL44" s="254"/>
      <c r="AM44" s="255"/>
      <c r="AN44" s="254"/>
      <c r="AO44" s="254"/>
      <c r="AP44" s="255"/>
      <c r="AQ44" s="254">
        <f>0.026611</f>
        <v>0.026611</v>
      </c>
      <c r="AR44" s="254"/>
      <c r="AS44" s="255"/>
      <c r="AT44" s="254">
        <f t="shared" si="11"/>
        <v>0.026611</v>
      </c>
      <c r="AU44" s="254"/>
      <c r="AV44" s="255"/>
      <c r="AW44" s="254">
        <v>107.6387</v>
      </c>
      <c r="AX44" s="254"/>
      <c r="AY44" s="264"/>
      <c r="AZ44" s="254">
        <f>BI44+BL44</f>
        <v>7.8439</v>
      </c>
      <c r="BA44" s="254"/>
      <c r="BB44" s="255"/>
      <c r="BC44" s="254"/>
      <c r="BD44" s="254"/>
      <c r="BE44" s="255"/>
      <c r="BF44" s="266">
        <f>0.0074</f>
        <v>0.0074</v>
      </c>
      <c r="BG44" s="254"/>
      <c r="BH44" s="255"/>
      <c r="BI44" s="254">
        <f t="shared" si="12"/>
        <v>0.0074</v>
      </c>
      <c r="BJ44" s="254"/>
      <c r="BK44" s="255"/>
      <c r="BL44" s="254">
        <v>7.8365</v>
      </c>
      <c r="BM44" s="254"/>
      <c r="BN44" s="571"/>
      <c r="BO44" s="199"/>
    </row>
    <row r="45" spans="1:67" ht="15.75" customHeight="1">
      <c r="A45" s="579">
        <f>A43+1</f>
        <v>33</v>
      </c>
      <c r="B45" s="574" t="s">
        <v>185</v>
      </c>
      <c r="C45" s="272" t="s">
        <v>145</v>
      </c>
      <c r="D45" s="209">
        <f t="shared" si="8"/>
        <v>5.9582</v>
      </c>
      <c r="E45" s="209" t="s">
        <v>146</v>
      </c>
      <c r="F45" s="212" t="s">
        <v>145</v>
      </c>
      <c r="G45" s="209">
        <f>V45+AN45+BC45+その４!G45+その４!V45+その４!AM45+その４!BB45+その４!BT45+その４!CI45+その４!CY45</f>
        <v>0</v>
      </c>
      <c r="H45" s="423" t="s">
        <v>146</v>
      </c>
      <c r="I45" s="209" t="s">
        <v>145</v>
      </c>
      <c r="J45" s="209">
        <f>Y45+AQ45+BF45+その４!J45+その４!Y45+その４!AP45+その４!BE45+その４!BW45+その４!CL45+その４!DB45</f>
        <v>0</v>
      </c>
      <c r="K45" s="209" t="s">
        <v>146</v>
      </c>
      <c r="L45" s="212" t="s">
        <v>145</v>
      </c>
      <c r="M45" s="209">
        <f t="shared" si="9"/>
        <v>0</v>
      </c>
      <c r="N45" s="209" t="s">
        <v>146</v>
      </c>
      <c r="O45" s="427" t="s">
        <v>145</v>
      </c>
      <c r="P45" s="258">
        <f>AE45+AW45+BL45+その４!P45+その４!AE45+その４!AV45+その４!BK45+その４!CC45+その４!CR45+その４!DH45</f>
        <v>5.9582</v>
      </c>
      <c r="Q45" s="252" t="s">
        <v>146</v>
      </c>
      <c r="R45" s="208"/>
      <c r="S45" s="209"/>
      <c r="T45" s="209"/>
      <c r="U45" s="212"/>
      <c r="V45" s="209"/>
      <c r="W45" s="209"/>
      <c r="X45" s="212"/>
      <c r="Y45" s="209"/>
      <c r="Z45" s="209"/>
      <c r="AA45" s="212"/>
      <c r="AB45" s="209">
        <f t="shared" si="10"/>
        <v>0</v>
      </c>
      <c r="AC45" s="209"/>
      <c r="AD45" s="212"/>
      <c r="AE45" s="209"/>
      <c r="AF45" s="211"/>
      <c r="AG45" s="209"/>
      <c r="AH45" s="208" t="s">
        <v>145</v>
      </c>
      <c r="AI45" s="209"/>
      <c r="AJ45" s="208" t="s">
        <v>329</v>
      </c>
      <c r="AK45" s="209"/>
      <c r="AL45" s="209" t="s">
        <v>146</v>
      </c>
      <c r="AM45" s="212" t="s">
        <v>145</v>
      </c>
      <c r="AN45" s="209"/>
      <c r="AO45" s="209" t="s">
        <v>146</v>
      </c>
      <c r="AP45" s="212" t="s">
        <v>145</v>
      </c>
      <c r="AQ45" s="209"/>
      <c r="AR45" s="209" t="s">
        <v>146</v>
      </c>
      <c r="AS45" s="212" t="s">
        <v>145</v>
      </c>
      <c r="AT45" s="209">
        <f t="shared" si="11"/>
        <v>0</v>
      </c>
      <c r="AU45" s="209" t="s">
        <v>146</v>
      </c>
      <c r="AV45" s="212" t="s">
        <v>145</v>
      </c>
      <c r="AW45" s="209"/>
      <c r="AX45" s="209" t="s">
        <v>146</v>
      </c>
      <c r="AY45" s="208" t="s">
        <v>145</v>
      </c>
      <c r="AZ45" s="209"/>
      <c r="BA45" s="209" t="s">
        <v>146</v>
      </c>
      <c r="BB45" s="212" t="s">
        <v>145</v>
      </c>
      <c r="BC45" s="209"/>
      <c r="BD45" s="209" t="s">
        <v>146</v>
      </c>
      <c r="BE45" s="212" t="s">
        <v>145</v>
      </c>
      <c r="BF45" s="270"/>
      <c r="BG45" s="209" t="s">
        <v>146</v>
      </c>
      <c r="BH45" s="212" t="s">
        <v>145</v>
      </c>
      <c r="BI45" s="209">
        <f t="shared" si="12"/>
        <v>0</v>
      </c>
      <c r="BJ45" s="209" t="s">
        <v>146</v>
      </c>
      <c r="BK45" s="212" t="s">
        <v>145</v>
      </c>
      <c r="BL45" s="209"/>
      <c r="BM45" s="209" t="s">
        <v>146</v>
      </c>
      <c r="BN45" s="584">
        <f>BN43+1</f>
        <v>33</v>
      </c>
      <c r="BO45" s="199"/>
    </row>
    <row r="46" spans="1:67" ht="15.75" customHeight="1">
      <c r="A46" s="580"/>
      <c r="B46" s="574"/>
      <c r="C46" s="272"/>
      <c r="D46" s="254">
        <f t="shared" si="8"/>
        <v>12359.805454000001</v>
      </c>
      <c r="E46" s="209"/>
      <c r="F46" s="212"/>
      <c r="G46" s="209">
        <v>7120.8286</v>
      </c>
      <c r="H46" s="423"/>
      <c r="I46" s="209"/>
      <c r="J46" s="254">
        <f>Y46+AQ46+BF46+その４!J46+その４!Y46+その４!AP46+その４!BE46+その４!BW46+その４!CL46+その４!DB46</f>
        <v>9.682054</v>
      </c>
      <c r="K46" s="209"/>
      <c r="L46" s="212"/>
      <c r="M46" s="254">
        <f t="shared" si="9"/>
        <v>7130.510654</v>
      </c>
      <c r="N46" s="209"/>
      <c r="O46" s="427"/>
      <c r="P46" s="254">
        <f>AE46+AW46+BL46+その４!P46+その４!AE46+その４!AV46+その４!BK46+その４!CC46+その４!CR46+その４!DH46</f>
        <v>5229.294800000001</v>
      </c>
      <c r="Q46" s="252"/>
      <c r="R46" s="208"/>
      <c r="S46" s="254">
        <f>AB46+AE46</f>
        <v>11477.1446</v>
      </c>
      <c r="T46" s="209"/>
      <c r="U46" s="212"/>
      <c r="V46" s="209">
        <v>7120.8286</v>
      </c>
      <c r="W46" s="209"/>
      <c r="X46" s="212"/>
      <c r="Y46" s="209">
        <f>5.8859</f>
        <v>5.8859</v>
      </c>
      <c r="Z46" s="209"/>
      <c r="AA46" s="212"/>
      <c r="AB46" s="254">
        <f t="shared" si="10"/>
        <v>7126.7145</v>
      </c>
      <c r="AC46" s="209"/>
      <c r="AD46" s="212"/>
      <c r="AE46" s="209">
        <v>4350.4301</v>
      </c>
      <c r="AF46" s="211"/>
      <c r="AG46" s="209"/>
      <c r="AH46" s="208"/>
      <c r="AI46" s="209"/>
      <c r="AJ46" s="208"/>
      <c r="AK46" s="254">
        <f>AT46+AW46</f>
        <v>876.378154</v>
      </c>
      <c r="AL46" s="209"/>
      <c r="AM46" s="212"/>
      <c r="AN46" s="209"/>
      <c r="AO46" s="209"/>
      <c r="AP46" s="212"/>
      <c r="AQ46" s="209">
        <f>3.676054</f>
        <v>3.676054</v>
      </c>
      <c r="AR46" s="209"/>
      <c r="AS46" s="212"/>
      <c r="AT46" s="254">
        <f t="shared" si="11"/>
        <v>3.676054</v>
      </c>
      <c r="AU46" s="209"/>
      <c r="AV46" s="212"/>
      <c r="AW46" s="708">
        <v>872.7021</v>
      </c>
      <c r="AX46" s="209"/>
      <c r="AY46" s="208"/>
      <c r="AZ46" s="254">
        <f>BI46+BL46</f>
        <v>6.2735</v>
      </c>
      <c r="BA46" s="209"/>
      <c r="BB46" s="255"/>
      <c r="BC46" s="254"/>
      <c r="BD46" s="254"/>
      <c r="BE46" s="255"/>
      <c r="BF46" s="266">
        <f>0.1201</f>
        <v>0.1201</v>
      </c>
      <c r="BG46" s="428"/>
      <c r="BH46" s="212"/>
      <c r="BI46" s="254">
        <f t="shared" si="12"/>
        <v>0.1201</v>
      </c>
      <c r="BJ46" s="209"/>
      <c r="BK46" s="212"/>
      <c r="BL46" s="209">
        <v>6.1534</v>
      </c>
      <c r="BM46" s="209"/>
      <c r="BN46" s="571"/>
      <c r="BO46" s="199"/>
    </row>
    <row r="47" spans="1:67" ht="15.75" customHeight="1">
      <c r="A47" s="579">
        <f>A45+1</f>
        <v>34</v>
      </c>
      <c r="B47" s="578" t="s">
        <v>186</v>
      </c>
      <c r="C47" s="273" t="s">
        <v>145</v>
      </c>
      <c r="D47" s="209">
        <f t="shared" si="8"/>
        <v>117.80909999999999</v>
      </c>
      <c r="E47" s="258" t="s">
        <v>146</v>
      </c>
      <c r="F47" s="259" t="s">
        <v>145</v>
      </c>
      <c r="G47" s="258"/>
      <c r="H47" s="429" t="s">
        <v>146</v>
      </c>
      <c r="I47" s="258" t="s">
        <v>145</v>
      </c>
      <c r="J47" s="209">
        <f>Y47+AQ47+BF47+その４!J47+その４!Y47+その４!AP47+その４!BE47+その４!BW47+その４!CL47+その４!DB47</f>
        <v>0.57</v>
      </c>
      <c r="K47" s="258" t="s">
        <v>146</v>
      </c>
      <c r="L47" s="259" t="s">
        <v>145</v>
      </c>
      <c r="M47" s="209">
        <f t="shared" si="9"/>
        <v>0.57</v>
      </c>
      <c r="N47" s="258" t="s">
        <v>146</v>
      </c>
      <c r="O47" s="430" t="s">
        <v>145</v>
      </c>
      <c r="P47" s="258">
        <f>AE47+AW47+BL47+その４!P47+その４!AE47+その４!AV47+その４!BK47+その４!CC47+その４!CR47+その４!DH47</f>
        <v>117.2391</v>
      </c>
      <c r="Q47" s="260" t="s">
        <v>146</v>
      </c>
      <c r="R47" s="261"/>
      <c r="S47" s="258"/>
      <c r="T47" s="258"/>
      <c r="U47" s="259"/>
      <c r="V47" s="258"/>
      <c r="W47" s="258"/>
      <c r="X47" s="259"/>
      <c r="Y47" s="258"/>
      <c r="Z47" s="258"/>
      <c r="AA47" s="259"/>
      <c r="AB47" s="209">
        <f t="shared" si="10"/>
        <v>0</v>
      </c>
      <c r="AC47" s="258"/>
      <c r="AD47" s="259"/>
      <c r="AE47" s="258"/>
      <c r="AF47" s="262"/>
      <c r="AG47" s="209"/>
      <c r="AH47" s="208"/>
      <c r="AI47" s="209"/>
      <c r="AJ47" s="261" t="s">
        <v>330</v>
      </c>
      <c r="AK47" s="209"/>
      <c r="AL47" s="258" t="s">
        <v>146</v>
      </c>
      <c r="AM47" s="259" t="s">
        <v>145</v>
      </c>
      <c r="AN47" s="258"/>
      <c r="AO47" s="258" t="s">
        <v>146</v>
      </c>
      <c r="AP47" s="259" t="s">
        <v>145</v>
      </c>
      <c r="AQ47" s="258"/>
      <c r="AR47" s="258" t="s">
        <v>146</v>
      </c>
      <c r="AS47" s="259" t="s">
        <v>145</v>
      </c>
      <c r="AT47" s="209">
        <f t="shared" si="11"/>
        <v>0</v>
      </c>
      <c r="AU47" s="258" t="s">
        <v>146</v>
      </c>
      <c r="AV47" s="259" t="s">
        <v>145</v>
      </c>
      <c r="AW47" s="258"/>
      <c r="AX47" s="258" t="s">
        <v>146</v>
      </c>
      <c r="AY47" s="261"/>
      <c r="AZ47" s="209"/>
      <c r="BA47" s="258"/>
      <c r="BB47" s="212" t="s">
        <v>145</v>
      </c>
      <c r="BC47" s="209"/>
      <c r="BD47" s="209" t="s">
        <v>146</v>
      </c>
      <c r="BE47" s="212" t="s">
        <v>145</v>
      </c>
      <c r="BF47" s="270"/>
      <c r="BG47" s="209" t="s">
        <v>146</v>
      </c>
      <c r="BH47" s="259" t="s">
        <v>145</v>
      </c>
      <c r="BI47" s="209">
        <f t="shared" si="12"/>
        <v>0</v>
      </c>
      <c r="BJ47" s="429" t="s">
        <v>146</v>
      </c>
      <c r="BK47" s="436" t="s">
        <v>331</v>
      </c>
      <c r="BL47" s="258"/>
      <c r="BM47" s="258" t="s">
        <v>332</v>
      </c>
      <c r="BN47" s="584">
        <f>BN45+1</f>
        <v>34</v>
      </c>
      <c r="BO47" s="199"/>
    </row>
    <row r="48" spans="1:67" ht="15.75" customHeight="1" thickBot="1">
      <c r="A48" s="580"/>
      <c r="B48" s="611"/>
      <c r="C48" s="269"/>
      <c r="D48" s="217">
        <f t="shared" si="8"/>
        <v>2536.5732029999995</v>
      </c>
      <c r="E48" s="217"/>
      <c r="F48" s="218"/>
      <c r="G48" s="217">
        <v>467.1199</v>
      </c>
      <c r="H48" s="424"/>
      <c r="I48" s="217"/>
      <c r="J48" s="217">
        <f>Y48+AQ48+BF48+その４!J48+その４!Y48+その４!AP48+その４!BE48+その４!BW48+その４!CL48+その４!DB48</f>
        <v>6.404003</v>
      </c>
      <c r="K48" s="217"/>
      <c r="L48" s="218"/>
      <c r="M48" s="209">
        <f t="shared" si="9"/>
        <v>473.52390299999996</v>
      </c>
      <c r="N48" s="217"/>
      <c r="O48" s="432"/>
      <c r="P48" s="217">
        <f>AE48+AW48+BL48+その４!P48+その４!AE48+その４!AV48+その４!BK48+その４!CC48+その４!CR48+その４!DH48</f>
        <v>2063.0492999999997</v>
      </c>
      <c r="Q48" s="280"/>
      <c r="R48" s="216"/>
      <c r="S48" s="217">
        <f>AB48+AE48</f>
        <v>439.97679999999997</v>
      </c>
      <c r="T48" s="217"/>
      <c r="U48" s="218"/>
      <c r="V48" s="217">
        <v>106.94</v>
      </c>
      <c r="W48" s="217"/>
      <c r="X48" s="218"/>
      <c r="Y48" s="217">
        <f>1.2324</f>
        <v>1.2324</v>
      </c>
      <c r="Z48" s="217"/>
      <c r="AA48" s="218"/>
      <c r="AB48" s="209">
        <f t="shared" si="10"/>
        <v>108.1724</v>
      </c>
      <c r="AC48" s="217"/>
      <c r="AD48" s="218"/>
      <c r="AE48" s="217">
        <v>331.8044</v>
      </c>
      <c r="AF48" s="219"/>
      <c r="AG48" s="254"/>
      <c r="AH48" s="264"/>
      <c r="AI48" s="209"/>
      <c r="AJ48" s="216"/>
      <c r="AK48" s="209">
        <f>AT48+AW48</f>
        <v>2077.5983029999998</v>
      </c>
      <c r="AL48" s="217"/>
      <c r="AM48" s="218"/>
      <c r="AN48" s="217">
        <v>359.1499</v>
      </c>
      <c r="AO48" s="217"/>
      <c r="AP48" s="218"/>
      <c r="AQ48" s="256">
        <f>0.0056+5.081903</f>
        <v>5.087503</v>
      </c>
      <c r="AR48" s="217"/>
      <c r="AS48" s="218"/>
      <c r="AT48" s="209">
        <f t="shared" si="11"/>
        <v>364.23740300000003</v>
      </c>
      <c r="AU48" s="217"/>
      <c r="AV48" s="218"/>
      <c r="AW48" s="714">
        <v>1713.3609</v>
      </c>
      <c r="AX48" s="217"/>
      <c r="AY48" s="216"/>
      <c r="AZ48" s="209">
        <f>BI48+BL48</f>
        <v>17.9681</v>
      </c>
      <c r="BA48" s="217"/>
      <c r="BB48" s="218"/>
      <c r="BC48" s="217"/>
      <c r="BD48" s="217"/>
      <c r="BE48" s="218"/>
      <c r="BF48" s="289">
        <f>0.0841</f>
        <v>0.0841</v>
      </c>
      <c r="BG48" s="217"/>
      <c r="BH48" s="218"/>
      <c r="BI48" s="217">
        <f t="shared" si="12"/>
        <v>0.0841</v>
      </c>
      <c r="BJ48" s="423"/>
      <c r="BK48" s="218"/>
      <c r="BL48" s="217">
        <v>17.884</v>
      </c>
      <c r="BM48" s="217"/>
      <c r="BN48" s="715"/>
      <c r="BO48" s="199"/>
    </row>
    <row r="49" spans="1:67" s="245" customFormat="1" ht="15.75" customHeight="1">
      <c r="A49" s="569"/>
      <c r="B49" s="568" t="s">
        <v>291</v>
      </c>
      <c r="C49" s="276" t="s">
        <v>145</v>
      </c>
      <c r="D49" s="220">
        <f t="shared" si="8"/>
        <v>406.58669999999995</v>
      </c>
      <c r="E49" s="220" t="s">
        <v>146</v>
      </c>
      <c r="F49" s="221" t="s">
        <v>145</v>
      </c>
      <c r="G49" s="220">
        <f>G51+G53+G55+G57</f>
        <v>269.0541</v>
      </c>
      <c r="H49" s="222" t="s">
        <v>146</v>
      </c>
      <c r="I49" s="220" t="s">
        <v>145</v>
      </c>
      <c r="J49" s="220"/>
      <c r="K49" s="220" t="s">
        <v>146</v>
      </c>
      <c r="L49" s="221" t="s">
        <v>145</v>
      </c>
      <c r="M49" s="230">
        <f t="shared" si="9"/>
        <v>269.0541</v>
      </c>
      <c r="N49" s="220" t="s">
        <v>146</v>
      </c>
      <c r="O49" s="223" t="s">
        <v>145</v>
      </c>
      <c r="P49" s="220">
        <f>P51+P53+P55+P57</f>
        <v>137.53259999999997</v>
      </c>
      <c r="Q49" s="224" t="s">
        <v>146</v>
      </c>
      <c r="R49" s="277"/>
      <c r="S49" s="220"/>
      <c r="T49" s="220"/>
      <c r="U49" s="221"/>
      <c r="V49" s="220">
        <f>V51+V53+V55+V57</f>
        <v>0</v>
      </c>
      <c r="W49" s="222"/>
      <c r="X49" s="220"/>
      <c r="Y49" s="220">
        <f>Y51+Y53+Y55+Y57</f>
        <v>0</v>
      </c>
      <c r="Z49" s="220"/>
      <c r="AA49" s="221"/>
      <c r="AB49" s="230">
        <f t="shared" si="10"/>
        <v>0</v>
      </c>
      <c r="AC49" s="220"/>
      <c r="AD49" s="223"/>
      <c r="AE49" s="220">
        <f>AE51+AE53+AE55+AE57</f>
        <v>0</v>
      </c>
      <c r="AF49" s="242"/>
      <c r="AG49" s="224"/>
      <c r="AH49" s="229" t="s">
        <v>145</v>
      </c>
      <c r="AI49" s="276"/>
      <c r="AJ49" s="435" t="s">
        <v>312</v>
      </c>
      <c r="AK49" s="230"/>
      <c r="AL49" s="220" t="s">
        <v>146</v>
      </c>
      <c r="AM49" s="221" t="s">
        <v>145</v>
      </c>
      <c r="AN49" s="220">
        <f>AN51+AN53+AN55+AN57</f>
        <v>0</v>
      </c>
      <c r="AO49" s="222" t="s">
        <v>146</v>
      </c>
      <c r="AP49" s="220" t="s">
        <v>145</v>
      </c>
      <c r="AQ49" s="220">
        <f>AQ51+AQ53+AQ55+AQ57</f>
        <v>0</v>
      </c>
      <c r="AR49" s="220" t="s">
        <v>146</v>
      </c>
      <c r="AS49" s="221" t="s">
        <v>145</v>
      </c>
      <c r="AT49" s="230">
        <f t="shared" si="11"/>
        <v>0</v>
      </c>
      <c r="AU49" s="220" t="s">
        <v>146</v>
      </c>
      <c r="AV49" s="223" t="s">
        <v>145</v>
      </c>
      <c r="AW49" s="220">
        <f>AW51+AW53+AW55+AW57</f>
        <v>0</v>
      </c>
      <c r="AX49" s="224" t="s">
        <v>146</v>
      </c>
      <c r="AY49" s="277" t="s">
        <v>145</v>
      </c>
      <c r="AZ49" s="230"/>
      <c r="BA49" s="220" t="s">
        <v>146</v>
      </c>
      <c r="BB49" s="221" t="s">
        <v>145</v>
      </c>
      <c r="BC49" s="220">
        <f>BC51+BC53+BC55+BC57</f>
        <v>0</v>
      </c>
      <c r="BD49" s="222" t="s">
        <v>146</v>
      </c>
      <c r="BE49" s="220" t="s">
        <v>145</v>
      </c>
      <c r="BF49" s="220">
        <f>BF51+BF53+BF55+BF57</f>
        <v>0</v>
      </c>
      <c r="BG49" s="220" t="s">
        <v>146</v>
      </c>
      <c r="BH49" s="221" t="s">
        <v>145</v>
      </c>
      <c r="BI49" s="220">
        <f t="shared" si="12"/>
        <v>0</v>
      </c>
      <c r="BJ49" s="231" t="s">
        <v>146</v>
      </c>
      <c r="BK49" s="223" t="s">
        <v>145</v>
      </c>
      <c r="BL49" s="220">
        <f>BL51+BL53+BL55+BL57</f>
        <v>0</v>
      </c>
      <c r="BM49" s="224" t="s">
        <v>146</v>
      </c>
      <c r="BN49" s="290"/>
      <c r="BO49" s="228"/>
    </row>
    <row r="50" spans="1:67" s="245" customFormat="1" ht="15.75" customHeight="1" thickBot="1">
      <c r="A50" s="706"/>
      <c r="B50" s="707"/>
      <c r="C50" s="236"/>
      <c r="D50" s="237">
        <f t="shared" si="8"/>
        <v>15674.932108</v>
      </c>
      <c r="E50" s="237"/>
      <c r="F50" s="238"/>
      <c r="G50" s="237">
        <f>G52+G54+G56+G58</f>
        <v>7029.6077</v>
      </c>
      <c r="H50" s="239"/>
      <c r="I50" s="237"/>
      <c r="J50" s="237">
        <f>J52+J54+J56</f>
        <v>12.588408000000001</v>
      </c>
      <c r="K50" s="237"/>
      <c r="L50" s="238"/>
      <c r="M50" s="237">
        <f t="shared" si="9"/>
        <v>7042.196107999999</v>
      </c>
      <c r="N50" s="237"/>
      <c r="O50" s="240"/>
      <c r="P50" s="237">
        <f>P52+P54+P56+P58</f>
        <v>8632.736</v>
      </c>
      <c r="Q50" s="241"/>
      <c r="R50" s="246"/>
      <c r="S50" s="237">
        <f>AB50+AE50</f>
        <v>8631.1338</v>
      </c>
      <c r="T50" s="237"/>
      <c r="U50" s="238"/>
      <c r="V50" s="237">
        <f>V52+V54+V56+V58</f>
        <v>5547.3551</v>
      </c>
      <c r="W50" s="239"/>
      <c r="X50" s="237"/>
      <c r="Y50" s="237">
        <f>Y52+Y54+Y56+Y58</f>
        <v>3.307</v>
      </c>
      <c r="Z50" s="237"/>
      <c r="AA50" s="238"/>
      <c r="AB50" s="237">
        <f t="shared" si="10"/>
        <v>5550.6621</v>
      </c>
      <c r="AC50" s="237"/>
      <c r="AD50" s="240"/>
      <c r="AE50" s="237">
        <f>AE52+AE54+AE56+AE58</f>
        <v>3080.4717</v>
      </c>
      <c r="AF50" s="247"/>
      <c r="AG50" s="224"/>
      <c r="AH50" s="246"/>
      <c r="AI50" s="276"/>
      <c r="AJ50" s="275"/>
      <c r="AK50" s="237">
        <f>AT50+AW50</f>
        <v>6770.8306999999995</v>
      </c>
      <c r="AL50" s="237"/>
      <c r="AM50" s="238"/>
      <c r="AN50" s="237">
        <f>AN52+AN54+AN56+AN58</f>
        <v>1482.2525999999998</v>
      </c>
      <c r="AO50" s="239"/>
      <c r="AP50" s="237"/>
      <c r="AQ50" s="237">
        <f>AQ52+AQ54+AQ56+AQ58</f>
        <v>8.6259</v>
      </c>
      <c r="AR50" s="237"/>
      <c r="AS50" s="238"/>
      <c r="AT50" s="237">
        <f t="shared" si="11"/>
        <v>1490.8784999999998</v>
      </c>
      <c r="AU50" s="237"/>
      <c r="AV50" s="240"/>
      <c r="AW50" s="237">
        <f>AW52+AW54+AW56+AW58</f>
        <v>5279.9522</v>
      </c>
      <c r="AX50" s="241"/>
      <c r="AY50" s="246"/>
      <c r="AZ50" s="237">
        <f>BI50+BL50</f>
        <v>139.066208</v>
      </c>
      <c r="BA50" s="237"/>
      <c r="BB50" s="238"/>
      <c r="BC50" s="237">
        <f>BC52+BC54+BC56+BC58</f>
        <v>0</v>
      </c>
      <c r="BD50" s="239"/>
      <c r="BE50" s="237"/>
      <c r="BF50" s="248">
        <f>BF52+BF54+BF56+BF58</f>
        <v>0.249108</v>
      </c>
      <c r="BG50" s="237"/>
      <c r="BH50" s="238"/>
      <c r="BI50" s="237">
        <f t="shared" si="12"/>
        <v>0.249108</v>
      </c>
      <c r="BJ50" s="237"/>
      <c r="BK50" s="240"/>
      <c r="BL50" s="237">
        <f>BL52+BL54+BL56+BL58</f>
        <v>138.81709999999998</v>
      </c>
      <c r="BM50" s="241"/>
      <c r="BN50" s="249"/>
      <c r="BO50" s="228"/>
    </row>
    <row r="51" spans="1:67" ht="15.75" customHeight="1">
      <c r="A51" s="612">
        <f>A47+1</f>
        <v>35</v>
      </c>
      <c r="B51" s="613" t="s">
        <v>187</v>
      </c>
      <c r="C51" s="251" t="s">
        <v>145</v>
      </c>
      <c r="D51" s="214">
        <f t="shared" si="8"/>
        <v>88.7494</v>
      </c>
      <c r="E51" s="214" t="s">
        <v>146</v>
      </c>
      <c r="F51" s="210" t="s">
        <v>145</v>
      </c>
      <c r="G51" s="209">
        <f>V51+AN51+BC51+その４!G51+その４!V51+その４!AM51+その４!BB51+その４!BT51+その４!CI51+その４!CY51</f>
        <v>0</v>
      </c>
      <c r="H51" s="422" t="s">
        <v>146</v>
      </c>
      <c r="I51" s="214" t="s">
        <v>145</v>
      </c>
      <c r="J51" s="214">
        <f>Y51+AQ51+BF51+その４!J51+その４!Y51+その４!AP51+その４!BE51+その４!BW51+その４!CL51+その４!DB51</f>
        <v>0</v>
      </c>
      <c r="K51" s="214" t="s">
        <v>146</v>
      </c>
      <c r="L51" s="210" t="s">
        <v>145</v>
      </c>
      <c r="M51" s="214">
        <f t="shared" si="9"/>
        <v>0</v>
      </c>
      <c r="N51" s="214" t="s">
        <v>146</v>
      </c>
      <c r="O51" s="437" t="s">
        <v>145</v>
      </c>
      <c r="P51" s="214">
        <f>AE51+AW51+BL51+その４!P51+その４!AE51+その４!AV51+その４!BK51+その４!CC51+その４!CR51+その４!DH51</f>
        <v>88.7494</v>
      </c>
      <c r="Q51" s="438" t="s">
        <v>146</v>
      </c>
      <c r="R51" s="213"/>
      <c r="S51" s="214"/>
      <c r="T51" s="214"/>
      <c r="U51" s="210"/>
      <c r="V51" s="214"/>
      <c r="W51" s="214"/>
      <c r="X51" s="210"/>
      <c r="Y51" s="214"/>
      <c r="Z51" s="214"/>
      <c r="AA51" s="210"/>
      <c r="AB51" s="214">
        <f t="shared" si="10"/>
        <v>0</v>
      </c>
      <c r="AC51" s="214"/>
      <c r="AD51" s="210"/>
      <c r="AE51" s="214"/>
      <c r="AF51" s="215"/>
      <c r="AG51" s="209"/>
      <c r="AH51" s="208" t="s">
        <v>145</v>
      </c>
      <c r="AI51" s="209"/>
      <c r="AJ51" s="208" t="s">
        <v>312</v>
      </c>
      <c r="AK51" s="209"/>
      <c r="AL51" s="209" t="s">
        <v>146</v>
      </c>
      <c r="AM51" s="212" t="s">
        <v>145</v>
      </c>
      <c r="AN51" s="209"/>
      <c r="AO51" s="209" t="s">
        <v>146</v>
      </c>
      <c r="AP51" s="212" t="s">
        <v>145</v>
      </c>
      <c r="AQ51" s="209"/>
      <c r="AR51" s="209" t="s">
        <v>146</v>
      </c>
      <c r="AS51" s="212" t="s">
        <v>145</v>
      </c>
      <c r="AT51" s="209">
        <f t="shared" si="11"/>
        <v>0</v>
      </c>
      <c r="AU51" s="209" t="s">
        <v>146</v>
      </c>
      <c r="AV51" s="212" t="s">
        <v>145</v>
      </c>
      <c r="AW51" s="209"/>
      <c r="AX51" s="209" t="s">
        <v>146</v>
      </c>
      <c r="AY51" s="208" t="s">
        <v>145</v>
      </c>
      <c r="AZ51" s="209"/>
      <c r="BA51" s="209" t="s">
        <v>146</v>
      </c>
      <c r="BB51" s="212" t="s">
        <v>145</v>
      </c>
      <c r="BC51" s="209"/>
      <c r="BD51" s="209" t="s">
        <v>146</v>
      </c>
      <c r="BE51" s="212" t="s">
        <v>145</v>
      </c>
      <c r="BF51" s="209"/>
      <c r="BG51" s="209" t="s">
        <v>146</v>
      </c>
      <c r="BH51" s="212" t="s">
        <v>145</v>
      </c>
      <c r="BI51" s="209">
        <f t="shared" si="12"/>
        <v>0</v>
      </c>
      <c r="BJ51" s="209" t="s">
        <v>146</v>
      </c>
      <c r="BK51" s="212" t="s">
        <v>145</v>
      </c>
      <c r="BL51" s="209"/>
      <c r="BM51" s="209" t="s">
        <v>146</v>
      </c>
      <c r="BN51" s="570">
        <f>BN47+1</f>
        <v>35</v>
      </c>
      <c r="BO51" s="199"/>
    </row>
    <row r="52" spans="1:67" ht="15.75" customHeight="1">
      <c r="A52" s="580"/>
      <c r="B52" s="611"/>
      <c r="C52" s="253"/>
      <c r="D52" s="254">
        <f t="shared" si="8"/>
        <v>1216.8226000000002</v>
      </c>
      <c r="E52" s="254"/>
      <c r="F52" s="255"/>
      <c r="G52" s="254">
        <f>V52+AN52+BC52+その４!G52+その４!V52+その４!AM52+その４!BB52+その４!BT52+その４!CI52+その４!CY52</f>
        <v>358.26</v>
      </c>
      <c r="H52" s="428"/>
      <c r="I52" s="254"/>
      <c r="J52" s="254">
        <f>Y52+AQ52+BF52+その４!J52+その４!Y52+その４!AP52+その４!BE52+その４!BW52+その４!CL52+その４!DB52</f>
        <v>0.5655</v>
      </c>
      <c r="K52" s="254"/>
      <c r="L52" s="255"/>
      <c r="M52" s="254">
        <f t="shared" si="9"/>
        <v>358.8255</v>
      </c>
      <c r="N52" s="254"/>
      <c r="O52" s="431"/>
      <c r="P52" s="254">
        <f>AE52+AW52+BL52+その４!P52+その４!AE52+その４!AV52+その４!BK52+その４!CC52+その４!CR52+その４!DH52</f>
        <v>857.9971000000002</v>
      </c>
      <c r="Q52" s="263"/>
      <c r="R52" s="264"/>
      <c r="S52" s="254">
        <f>AB52+AE52</f>
        <v>933.1086</v>
      </c>
      <c r="T52" s="254"/>
      <c r="U52" s="255"/>
      <c r="V52" s="254">
        <v>305.89</v>
      </c>
      <c r="W52" s="254"/>
      <c r="X52" s="255"/>
      <c r="Y52" s="256">
        <f>0.4551</f>
        <v>0.4551</v>
      </c>
      <c r="Z52" s="254"/>
      <c r="AA52" s="255"/>
      <c r="AB52" s="254">
        <f t="shared" si="10"/>
        <v>306.3451</v>
      </c>
      <c r="AC52" s="254"/>
      <c r="AD52" s="255"/>
      <c r="AE52" s="254">
        <v>626.7635</v>
      </c>
      <c r="AF52" s="265"/>
      <c r="AG52" s="209"/>
      <c r="AH52" s="208"/>
      <c r="AI52" s="209"/>
      <c r="AJ52" s="264"/>
      <c r="AK52" s="254">
        <f>AT52+AW52</f>
        <v>245.6485</v>
      </c>
      <c r="AL52" s="254"/>
      <c r="AM52" s="255"/>
      <c r="AN52" s="254">
        <v>52.37</v>
      </c>
      <c r="AO52" s="254"/>
      <c r="AP52" s="255"/>
      <c r="AQ52" s="266">
        <f>0.0925</f>
        <v>0.0925</v>
      </c>
      <c r="AR52" s="254"/>
      <c r="AS52" s="255"/>
      <c r="AT52" s="254">
        <f t="shared" si="11"/>
        <v>52.4625</v>
      </c>
      <c r="AU52" s="254"/>
      <c r="AV52" s="255"/>
      <c r="AW52" s="710">
        <v>193.186</v>
      </c>
      <c r="AX52" s="254"/>
      <c r="AY52" s="264"/>
      <c r="AZ52" s="254">
        <f>BI52+BL52</f>
        <v>6.1845</v>
      </c>
      <c r="BA52" s="254"/>
      <c r="BB52" s="255"/>
      <c r="BC52" s="254"/>
      <c r="BD52" s="254"/>
      <c r="BE52" s="255"/>
      <c r="BF52" s="266">
        <f>0.0179</f>
        <v>0.0179</v>
      </c>
      <c r="BG52" s="254"/>
      <c r="BH52" s="255"/>
      <c r="BI52" s="254">
        <f t="shared" si="12"/>
        <v>0.0179</v>
      </c>
      <c r="BJ52" s="254"/>
      <c r="BK52" s="255"/>
      <c r="BL52" s="254">
        <v>6.1666</v>
      </c>
      <c r="BM52" s="265"/>
      <c r="BN52" s="571"/>
      <c r="BO52" s="199"/>
    </row>
    <row r="53" spans="1:67" ht="15.75" customHeight="1">
      <c r="A53" s="579">
        <f>A51+1</f>
        <v>36</v>
      </c>
      <c r="B53" s="578" t="s">
        <v>188</v>
      </c>
      <c r="C53" s="272" t="s">
        <v>145</v>
      </c>
      <c r="D53" s="209">
        <f t="shared" si="8"/>
        <v>277.6666</v>
      </c>
      <c r="E53" s="209" t="s">
        <v>146</v>
      </c>
      <c r="F53" s="212" t="s">
        <v>145</v>
      </c>
      <c r="G53" s="209">
        <f>V53+AN53+BC53+その４!G53+その４!AM53+その４!BB53+その４!BT53+その４!CI53+その４!CY53</f>
        <v>269.0541</v>
      </c>
      <c r="H53" s="423" t="s">
        <v>146</v>
      </c>
      <c r="I53" s="209" t="s">
        <v>145</v>
      </c>
      <c r="J53" s="209">
        <f>Y53+AQ53+BF53+その４!J53+その４!AP53+その４!BE53+その４!BW53+その４!CL53+その４!DB53</f>
        <v>0</v>
      </c>
      <c r="K53" s="209" t="s">
        <v>146</v>
      </c>
      <c r="L53" s="212" t="s">
        <v>145</v>
      </c>
      <c r="M53" s="209">
        <f t="shared" si="9"/>
        <v>269.0541</v>
      </c>
      <c r="N53" s="209" t="s">
        <v>146</v>
      </c>
      <c r="O53" s="427" t="s">
        <v>145</v>
      </c>
      <c r="P53" s="209">
        <f>AE53+AW53+BL53+その４!P53+その４!AV53+その４!BK53+その４!CC53+その４!CR53+その４!DH53</f>
        <v>8.6125</v>
      </c>
      <c r="Q53" s="252" t="s">
        <v>146</v>
      </c>
      <c r="R53" s="208"/>
      <c r="S53" s="209"/>
      <c r="T53" s="209"/>
      <c r="U53" s="212"/>
      <c r="V53" s="209"/>
      <c r="W53" s="209"/>
      <c r="X53" s="212"/>
      <c r="Y53" s="209"/>
      <c r="Z53" s="209"/>
      <c r="AA53" s="212"/>
      <c r="AB53" s="209">
        <f t="shared" si="10"/>
        <v>0</v>
      </c>
      <c r="AC53" s="209"/>
      <c r="AD53" s="212"/>
      <c r="AE53" s="209"/>
      <c r="AF53" s="211"/>
      <c r="AG53" s="209"/>
      <c r="AH53" s="208" t="s">
        <v>145</v>
      </c>
      <c r="AI53" s="209"/>
      <c r="AJ53" s="208" t="s">
        <v>318</v>
      </c>
      <c r="AK53" s="209"/>
      <c r="AL53" s="209" t="s">
        <v>146</v>
      </c>
      <c r="AM53" s="212" t="s">
        <v>145</v>
      </c>
      <c r="AN53" s="209"/>
      <c r="AO53" s="209" t="s">
        <v>146</v>
      </c>
      <c r="AP53" s="212" t="s">
        <v>145</v>
      </c>
      <c r="AQ53" s="209"/>
      <c r="AR53" s="209" t="s">
        <v>146</v>
      </c>
      <c r="AS53" s="212" t="s">
        <v>145</v>
      </c>
      <c r="AT53" s="209">
        <f t="shared" si="11"/>
        <v>0</v>
      </c>
      <c r="AU53" s="209" t="s">
        <v>146</v>
      </c>
      <c r="AV53" s="212" t="s">
        <v>145</v>
      </c>
      <c r="AW53" s="209"/>
      <c r="AX53" s="209" t="s">
        <v>146</v>
      </c>
      <c r="AY53" s="208" t="s">
        <v>145</v>
      </c>
      <c r="AZ53" s="209"/>
      <c r="BA53" s="209" t="s">
        <v>146</v>
      </c>
      <c r="BB53" s="212" t="s">
        <v>145</v>
      </c>
      <c r="BC53" s="209"/>
      <c r="BD53" s="209" t="s">
        <v>146</v>
      </c>
      <c r="BE53" s="212" t="s">
        <v>145</v>
      </c>
      <c r="BF53" s="209"/>
      <c r="BG53" s="209" t="s">
        <v>146</v>
      </c>
      <c r="BH53" s="212" t="s">
        <v>145</v>
      </c>
      <c r="BI53" s="209">
        <f t="shared" si="12"/>
        <v>0</v>
      </c>
      <c r="BJ53" s="209" t="s">
        <v>146</v>
      </c>
      <c r="BK53" s="212" t="s">
        <v>145</v>
      </c>
      <c r="BL53" s="209"/>
      <c r="BM53" s="209" t="s">
        <v>146</v>
      </c>
      <c r="BN53" s="584">
        <f>BN51+1</f>
        <v>36</v>
      </c>
      <c r="BO53" s="199"/>
    </row>
    <row r="54" spans="1:67" ht="15.75" customHeight="1">
      <c r="A54" s="580"/>
      <c r="B54" s="611"/>
      <c r="C54" s="272"/>
      <c r="D54" s="254">
        <f t="shared" si="8"/>
        <v>8478.653218000001</v>
      </c>
      <c r="E54" s="209"/>
      <c r="F54" s="212"/>
      <c r="G54" s="254">
        <f>V54+AN54+BC54+その４!G54+その４!AM54+その４!BB54+その４!BT54+その４!CI54+その４!CY54</f>
        <v>3215.7246999999998</v>
      </c>
      <c r="H54" s="423"/>
      <c r="I54" s="209"/>
      <c r="J54" s="254">
        <f>Y54+AQ54+BF54+その４!J54+その４!AP54+その４!BE54+その４!BW54+その４!CL54+その４!DB54</f>
        <v>9.455518000000001</v>
      </c>
      <c r="K54" s="209"/>
      <c r="L54" s="212"/>
      <c r="M54" s="254">
        <f t="shared" si="9"/>
        <v>3225.180218</v>
      </c>
      <c r="N54" s="209"/>
      <c r="O54" s="427"/>
      <c r="P54" s="254">
        <f>AE54+AW54+BL54+その４!P54+その４!AV54+その４!BK54+その４!CC54+その４!CR54+その４!DH54</f>
        <v>5253.473000000001</v>
      </c>
      <c r="Q54" s="252"/>
      <c r="R54" s="208"/>
      <c r="S54" s="254">
        <f>AB54+AE54</f>
        <v>3600.7671</v>
      </c>
      <c r="T54" s="209"/>
      <c r="U54" s="212"/>
      <c r="V54" s="209">
        <v>1815.3022</v>
      </c>
      <c r="W54" s="209"/>
      <c r="X54" s="212"/>
      <c r="Y54" s="256">
        <f>0.3338+2.5181</f>
        <v>2.8519</v>
      </c>
      <c r="Z54" s="209"/>
      <c r="AA54" s="212"/>
      <c r="AB54" s="254">
        <f t="shared" si="10"/>
        <v>1818.1541</v>
      </c>
      <c r="AC54" s="209"/>
      <c r="AD54" s="212"/>
      <c r="AE54" s="209">
        <v>1782.613</v>
      </c>
      <c r="AF54" s="211"/>
      <c r="AG54" s="209"/>
      <c r="AH54" s="208"/>
      <c r="AI54" s="209"/>
      <c r="AJ54" s="208"/>
      <c r="AK54" s="254">
        <f>AT54+AW54</f>
        <v>4713.782325</v>
      </c>
      <c r="AL54" s="209"/>
      <c r="AM54" s="212"/>
      <c r="AN54" s="209">
        <v>1400.4225</v>
      </c>
      <c r="AO54" s="209"/>
      <c r="AP54" s="212"/>
      <c r="AQ54" s="256">
        <f>0.0029+5.704025</f>
        <v>5.706925</v>
      </c>
      <c r="AR54" s="209"/>
      <c r="AS54" s="212"/>
      <c r="AT54" s="254">
        <f t="shared" si="11"/>
        <v>1406.1294249999999</v>
      </c>
      <c r="AU54" s="209"/>
      <c r="AV54" s="212"/>
      <c r="AW54" s="708">
        <v>3307.6529</v>
      </c>
      <c r="AX54" s="209"/>
      <c r="AY54" s="208"/>
      <c r="AZ54" s="254">
        <f>BI54+BL54</f>
        <v>75.28649300000001</v>
      </c>
      <c r="BA54" s="209"/>
      <c r="BB54" s="212"/>
      <c r="BC54" s="209"/>
      <c r="BD54" s="209"/>
      <c r="BE54" s="212"/>
      <c r="BF54" s="266">
        <f>0.135793+0.0517</f>
        <v>0.187493</v>
      </c>
      <c r="BG54" s="209"/>
      <c r="BH54" s="212"/>
      <c r="BI54" s="254">
        <f t="shared" si="12"/>
        <v>0.187493</v>
      </c>
      <c r="BJ54" s="209"/>
      <c r="BK54" s="212"/>
      <c r="BL54" s="209">
        <v>75.099</v>
      </c>
      <c r="BM54" s="209"/>
      <c r="BN54" s="571"/>
      <c r="BO54" s="199"/>
    </row>
    <row r="55" spans="1:67" ht="15.75" customHeight="1">
      <c r="A55" s="579">
        <f>A53+1</f>
        <v>37</v>
      </c>
      <c r="B55" s="578" t="s">
        <v>189</v>
      </c>
      <c r="C55" s="273" t="s">
        <v>145</v>
      </c>
      <c r="D55" s="209">
        <f t="shared" si="8"/>
        <v>30.7444</v>
      </c>
      <c r="E55" s="258" t="s">
        <v>146</v>
      </c>
      <c r="F55" s="259" t="s">
        <v>145</v>
      </c>
      <c r="G55" s="209">
        <f>V55+AN55+BC55+その４!G55+その４!V55+その４!AM55+その４!BB55+その４!BT55+その４!CI55+その４!CY55</f>
        <v>0</v>
      </c>
      <c r="H55" s="429" t="s">
        <v>146</v>
      </c>
      <c r="I55" s="258" t="s">
        <v>145</v>
      </c>
      <c r="J55" s="209">
        <f>Y55+AQ55+BF55+その４!J55+その４!AP55+その４!BE55+その４!BW55+その４!CL55+その４!DB55</f>
        <v>0</v>
      </c>
      <c r="K55" s="258" t="s">
        <v>146</v>
      </c>
      <c r="L55" s="259" t="s">
        <v>145</v>
      </c>
      <c r="M55" s="209">
        <f t="shared" si="9"/>
        <v>0</v>
      </c>
      <c r="N55" s="258" t="s">
        <v>146</v>
      </c>
      <c r="O55" s="430" t="s">
        <v>145</v>
      </c>
      <c r="P55" s="209">
        <f>AE55+AW55+BL55+その４!P55+その４!AV55+その４!BK55+その４!CC55+その４!CR55+その４!DH55</f>
        <v>30.7444</v>
      </c>
      <c r="Q55" s="260" t="s">
        <v>146</v>
      </c>
      <c r="R55" s="261"/>
      <c r="S55" s="209"/>
      <c r="T55" s="258"/>
      <c r="U55" s="259"/>
      <c r="V55" s="258"/>
      <c r="W55" s="258"/>
      <c r="X55" s="259"/>
      <c r="Y55" s="258"/>
      <c r="Z55" s="258"/>
      <c r="AA55" s="259"/>
      <c r="AB55" s="209">
        <f t="shared" si="10"/>
        <v>0</v>
      </c>
      <c r="AC55" s="258"/>
      <c r="AD55" s="259"/>
      <c r="AE55" s="258"/>
      <c r="AF55" s="262"/>
      <c r="AG55" s="209"/>
      <c r="AH55" s="261" t="s">
        <v>145</v>
      </c>
      <c r="AI55" s="209"/>
      <c r="AJ55" s="261" t="s">
        <v>333</v>
      </c>
      <c r="AK55" s="209"/>
      <c r="AL55" s="258" t="s">
        <v>146</v>
      </c>
      <c r="AM55" s="259" t="s">
        <v>145</v>
      </c>
      <c r="AN55" s="258"/>
      <c r="AO55" s="258" t="s">
        <v>146</v>
      </c>
      <c r="AP55" s="259" t="s">
        <v>145</v>
      </c>
      <c r="AQ55" s="258"/>
      <c r="AR55" s="258" t="s">
        <v>146</v>
      </c>
      <c r="AS55" s="259" t="s">
        <v>145</v>
      </c>
      <c r="AT55" s="209">
        <f t="shared" si="11"/>
        <v>0</v>
      </c>
      <c r="AU55" s="258" t="s">
        <v>146</v>
      </c>
      <c r="AV55" s="259" t="s">
        <v>145</v>
      </c>
      <c r="AW55" s="258"/>
      <c r="AX55" s="258" t="s">
        <v>146</v>
      </c>
      <c r="AY55" s="261" t="s">
        <v>145</v>
      </c>
      <c r="AZ55" s="209"/>
      <c r="BA55" s="258" t="s">
        <v>146</v>
      </c>
      <c r="BB55" s="259" t="s">
        <v>145</v>
      </c>
      <c r="BC55" s="258"/>
      <c r="BD55" s="258" t="s">
        <v>146</v>
      </c>
      <c r="BE55" s="259" t="s">
        <v>145</v>
      </c>
      <c r="BF55" s="258"/>
      <c r="BG55" s="258" t="s">
        <v>146</v>
      </c>
      <c r="BH55" s="259" t="s">
        <v>145</v>
      </c>
      <c r="BI55" s="209">
        <f t="shared" si="12"/>
        <v>0</v>
      </c>
      <c r="BJ55" s="258" t="s">
        <v>146</v>
      </c>
      <c r="BK55" s="259" t="s">
        <v>145</v>
      </c>
      <c r="BL55" s="258"/>
      <c r="BM55" s="258" t="s">
        <v>146</v>
      </c>
      <c r="BN55" s="584">
        <f>BN53+1</f>
        <v>37</v>
      </c>
      <c r="BO55" s="199"/>
    </row>
    <row r="56" spans="1:67" ht="15.75" customHeight="1">
      <c r="A56" s="580"/>
      <c r="B56" s="611"/>
      <c r="C56" s="274"/>
      <c r="D56" s="254">
        <f t="shared" si="8"/>
        <v>5499.16359</v>
      </c>
      <c r="E56" s="254"/>
      <c r="F56" s="255"/>
      <c r="G56" s="254">
        <f>V56+AN56+BC56+その４!G56+その４!AM56+その４!BB56+その４!BT56+その４!CI56+その４!CY56</f>
        <v>3455.6229999999996</v>
      </c>
      <c r="H56" s="428"/>
      <c r="I56" s="254"/>
      <c r="J56" s="254">
        <f>Y56+AQ56+BF56+その４!J56+その４!AP56+その４!BE56+その４!BW56+その４!CL56+その４!DB56</f>
        <v>2.5673900000000005</v>
      </c>
      <c r="K56" s="254"/>
      <c r="L56" s="255"/>
      <c r="M56" s="254">
        <f t="shared" si="9"/>
        <v>3458.1903899999998</v>
      </c>
      <c r="N56" s="254"/>
      <c r="O56" s="431"/>
      <c r="P56" s="254">
        <f>AE56+AW56+BL56+その４!P56+その４!AV56+その４!BK56+その４!CC56+その４!CR56+その４!DH56</f>
        <v>2040.9732000000001</v>
      </c>
      <c r="Q56" s="263"/>
      <c r="R56" s="264"/>
      <c r="S56" s="254">
        <f>AB56+AE56</f>
        <v>3749.3142</v>
      </c>
      <c r="T56" s="254"/>
      <c r="U56" s="255"/>
      <c r="V56" s="254">
        <v>3426.1629</v>
      </c>
      <c r="W56" s="254"/>
      <c r="X56" s="255"/>
      <c r="Y56" s="291"/>
      <c r="Z56" s="254"/>
      <c r="AA56" s="255"/>
      <c r="AB56" s="254">
        <f t="shared" si="10"/>
        <v>3426.1629</v>
      </c>
      <c r="AC56" s="254"/>
      <c r="AD56" s="255"/>
      <c r="AE56" s="710">
        <v>323.1513</v>
      </c>
      <c r="AF56" s="265"/>
      <c r="AG56" s="209"/>
      <c r="AH56" s="264"/>
      <c r="AI56" s="209"/>
      <c r="AJ56" s="264"/>
      <c r="AK56" s="254">
        <f>AT56+AW56</f>
        <v>1692.14789</v>
      </c>
      <c r="AL56" s="254"/>
      <c r="AM56" s="255"/>
      <c r="AN56" s="254">
        <v>29.4601</v>
      </c>
      <c r="AO56" s="254"/>
      <c r="AP56" s="255"/>
      <c r="AQ56" s="256">
        <f>0.0108+2.54389</f>
        <v>2.5546900000000003</v>
      </c>
      <c r="AR56" s="254"/>
      <c r="AS56" s="255"/>
      <c r="AT56" s="254">
        <f t="shared" si="11"/>
        <v>32.01479</v>
      </c>
      <c r="AU56" s="254"/>
      <c r="AV56" s="255"/>
      <c r="AW56" s="254">
        <v>1660.1331</v>
      </c>
      <c r="AX56" s="254"/>
      <c r="AY56" s="264"/>
      <c r="AZ56" s="254">
        <f>BI56+BL56</f>
        <v>44.1956</v>
      </c>
      <c r="BA56" s="254"/>
      <c r="BB56" s="255"/>
      <c r="BC56" s="254"/>
      <c r="BD56" s="254"/>
      <c r="BE56" s="255"/>
      <c r="BF56" s="266">
        <f>0.0127</f>
        <v>0.0127</v>
      </c>
      <c r="BG56" s="254"/>
      <c r="BH56" s="255"/>
      <c r="BI56" s="254">
        <f t="shared" si="12"/>
        <v>0.0127</v>
      </c>
      <c r="BJ56" s="254"/>
      <c r="BK56" s="255"/>
      <c r="BL56" s="254">
        <v>44.1829</v>
      </c>
      <c r="BM56" s="254"/>
      <c r="BN56" s="571"/>
      <c r="BO56" s="199"/>
    </row>
    <row r="57" spans="1:67" ht="15.75" customHeight="1">
      <c r="A57" s="579">
        <f>A55+1</f>
        <v>38</v>
      </c>
      <c r="B57" s="578" t="s">
        <v>190</v>
      </c>
      <c r="C57" s="273" t="s">
        <v>145</v>
      </c>
      <c r="D57" s="258">
        <f t="shared" si="8"/>
        <v>9.4263</v>
      </c>
      <c r="E57" s="258" t="s">
        <v>146</v>
      </c>
      <c r="F57" s="259" t="s">
        <v>145</v>
      </c>
      <c r="G57" s="209">
        <f>V57+AN57+BC57+その４!G57+その４!V57+その４!AM57+その４!BB57+その４!BT57+その４!CI57+その４!CY57</f>
        <v>0</v>
      </c>
      <c r="H57" s="429" t="s">
        <v>146</v>
      </c>
      <c r="I57" s="258" t="s">
        <v>145</v>
      </c>
      <c r="J57" s="209">
        <f>Y57+AQ57+BF57+その４!J57+その４!Y57+その４!AP57+その４!BE57+その４!BW57+その４!CL57+その４!DB57</f>
        <v>0</v>
      </c>
      <c r="K57" s="258" t="s">
        <v>146</v>
      </c>
      <c r="L57" s="259" t="s">
        <v>145</v>
      </c>
      <c r="M57" s="258">
        <f t="shared" si="9"/>
        <v>0</v>
      </c>
      <c r="N57" s="258" t="s">
        <v>146</v>
      </c>
      <c r="O57" s="430" t="s">
        <v>145</v>
      </c>
      <c r="P57" s="258">
        <f>AE57+AW57+BL57+その４!P57+その４!AV57+その４!BK57+その４!CC57+その４!CR57+その４!DH57</f>
        <v>9.4263</v>
      </c>
      <c r="Q57" s="260" t="s">
        <v>146</v>
      </c>
      <c r="R57" s="261"/>
      <c r="S57" s="258"/>
      <c r="T57" s="258"/>
      <c r="U57" s="259"/>
      <c r="V57" s="258"/>
      <c r="W57" s="258"/>
      <c r="X57" s="259"/>
      <c r="Y57" s="258"/>
      <c r="Z57" s="258"/>
      <c r="AA57" s="259"/>
      <c r="AB57" s="258">
        <f t="shared" si="10"/>
        <v>0</v>
      </c>
      <c r="AC57" s="258"/>
      <c r="AD57" s="259"/>
      <c r="AE57" s="258"/>
      <c r="AF57" s="262"/>
      <c r="AG57" s="209"/>
      <c r="AH57" s="261" t="s">
        <v>145</v>
      </c>
      <c r="AI57" s="209"/>
      <c r="AJ57" s="261" t="s">
        <v>330</v>
      </c>
      <c r="AK57" s="209"/>
      <c r="AL57" s="258" t="s">
        <v>146</v>
      </c>
      <c r="AM57" s="259" t="s">
        <v>145</v>
      </c>
      <c r="AN57" s="258"/>
      <c r="AO57" s="258" t="s">
        <v>146</v>
      </c>
      <c r="AP57" s="259" t="s">
        <v>145</v>
      </c>
      <c r="AQ57" s="258"/>
      <c r="AR57" s="258" t="s">
        <v>146</v>
      </c>
      <c r="AS57" s="259" t="s">
        <v>145</v>
      </c>
      <c r="AT57" s="209">
        <f t="shared" si="11"/>
        <v>0</v>
      </c>
      <c r="AU57" s="258" t="s">
        <v>146</v>
      </c>
      <c r="AV57" s="259" t="s">
        <v>145</v>
      </c>
      <c r="AW57" s="258"/>
      <c r="AX57" s="258" t="s">
        <v>146</v>
      </c>
      <c r="AY57" s="261" t="s">
        <v>145</v>
      </c>
      <c r="AZ57" s="209"/>
      <c r="BA57" s="258" t="s">
        <v>146</v>
      </c>
      <c r="BB57" s="259" t="s">
        <v>145</v>
      </c>
      <c r="BC57" s="258"/>
      <c r="BD57" s="258" t="s">
        <v>146</v>
      </c>
      <c r="BE57" s="259" t="s">
        <v>145</v>
      </c>
      <c r="BF57" s="258"/>
      <c r="BG57" s="258" t="s">
        <v>146</v>
      </c>
      <c r="BH57" s="259" t="s">
        <v>145</v>
      </c>
      <c r="BI57" s="209">
        <f t="shared" si="12"/>
        <v>0</v>
      </c>
      <c r="BJ57" s="258" t="s">
        <v>146</v>
      </c>
      <c r="BK57" s="259" t="s">
        <v>145</v>
      </c>
      <c r="BL57" s="258"/>
      <c r="BM57" s="258" t="s">
        <v>146</v>
      </c>
      <c r="BN57" s="584">
        <f>BN55+1</f>
        <v>38</v>
      </c>
      <c r="BO57" s="199"/>
    </row>
    <row r="58" spans="1:67" ht="15.75" customHeight="1" thickBot="1">
      <c r="A58" s="614"/>
      <c r="B58" s="615"/>
      <c r="C58" s="279"/>
      <c r="D58" s="217">
        <f t="shared" si="8"/>
        <v>480.59549999999996</v>
      </c>
      <c r="E58" s="217"/>
      <c r="F58" s="218"/>
      <c r="G58" s="217"/>
      <c r="H58" s="424"/>
      <c r="I58" s="217"/>
      <c r="J58" s="217">
        <f>Y58+AQ58+BF58+その４!J58+その４!Y58+その４!AP58+その４!BE58+その４!BW58+その４!CL58+その４!DB58</f>
        <v>0.3028</v>
      </c>
      <c r="K58" s="217"/>
      <c r="L58" s="218"/>
      <c r="M58" s="217">
        <f t="shared" si="9"/>
        <v>0.3028</v>
      </c>
      <c r="N58" s="217"/>
      <c r="O58" s="432"/>
      <c r="P58" s="217">
        <f>AE58+AW58+BL58+その４!P58+その４!AV58+その４!BK58+その４!CC58+その４!CR58+その４!DH58</f>
        <v>480.29269999999997</v>
      </c>
      <c r="Q58" s="280"/>
      <c r="R58" s="216"/>
      <c r="S58" s="217">
        <f>AB58+AE58</f>
        <v>347.9439</v>
      </c>
      <c r="T58" s="217"/>
      <c r="U58" s="218"/>
      <c r="V58" s="217"/>
      <c r="W58" s="217"/>
      <c r="X58" s="218"/>
      <c r="Y58" s="217"/>
      <c r="Z58" s="217"/>
      <c r="AA58" s="218"/>
      <c r="AB58" s="217">
        <f t="shared" si="10"/>
        <v>0</v>
      </c>
      <c r="AC58" s="217"/>
      <c r="AD58" s="218"/>
      <c r="AE58" s="217">
        <v>347.9439</v>
      </c>
      <c r="AF58" s="219"/>
      <c r="AG58" s="209"/>
      <c r="AH58" s="216"/>
      <c r="AI58" s="209"/>
      <c r="AJ58" s="216"/>
      <c r="AK58" s="217">
        <f>AT58+AW58</f>
        <v>119.25198499999999</v>
      </c>
      <c r="AL58" s="217"/>
      <c r="AM58" s="218"/>
      <c r="AN58" s="217"/>
      <c r="AO58" s="217"/>
      <c r="AP58" s="218"/>
      <c r="AQ58" s="289">
        <f>0.271785</f>
        <v>0.271785</v>
      </c>
      <c r="AR58" s="217"/>
      <c r="AS58" s="218"/>
      <c r="AT58" s="217">
        <f t="shared" si="11"/>
        <v>0.271785</v>
      </c>
      <c r="AU58" s="217"/>
      <c r="AV58" s="218"/>
      <c r="AW58" s="217">
        <v>118.9802</v>
      </c>
      <c r="AX58" s="217"/>
      <c r="AY58" s="216"/>
      <c r="AZ58" s="217">
        <f>BI58+BL58</f>
        <v>13.399615</v>
      </c>
      <c r="BA58" s="217"/>
      <c r="BB58" s="218"/>
      <c r="BC58" s="217"/>
      <c r="BD58" s="217"/>
      <c r="BE58" s="218"/>
      <c r="BF58" s="289">
        <f>0.031015</f>
        <v>0.031015</v>
      </c>
      <c r="BG58" s="217"/>
      <c r="BH58" s="218"/>
      <c r="BI58" s="217">
        <f t="shared" si="12"/>
        <v>0.031015</v>
      </c>
      <c r="BJ58" s="217"/>
      <c r="BK58" s="218"/>
      <c r="BL58" s="217">
        <v>13.3686</v>
      </c>
      <c r="BM58" s="219"/>
      <c r="BN58" s="585"/>
      <c r="BO58" s="199"/>
    </row>
    <row r="59" spans="1:67" ht="13.5" customHeight="1">
      <c r="A59" s="199"/>
      <c r="B59" s="198"/>
      <c r="C59" s="199"/>
      <c r="D59" s="292"/>
      <c r="E59" s="199"/>
      <c r="F59" s="199"/>
      <c r="G59" s="199"/>
      <c r="H59" s="199"/>
      <c r="I59" s="199"/>
      <c r="J59" s="199"/>
      <c r="K59" s="199"/>
      <c r="L59" s="199"/>
      <c r="M59" s="199"/>
      <c r="N59" s="199"/>
      <c r="O59" s="199"/>
      <c r="P59" s="199"/>
      <c r="Q59" s="199"/>
      <c r="R59" s="199"/>
      <c r="S59" s="199"/>
      <c r="T59" s="199"/>
      <c r="U59" s="199"/>
      <c r="V59" s="199"/>
      <c r="W59" s="199"/>
      <c r="X59" s="199"/>
      <c r="Y59" s="199"/>
      <c r="Z59" s="199"/>
      <c r="AA59" s="199"/>
      <c r="AB59" s="292"/>
      <c r="AC59" s="199"/>
      <c r="AD59" s="199"/>
      <c r="AE59" s="199"/>
      <c r="AF59" s="199"/>
      <c r="AG59" s="199"/>
      <c r="AH59" s="199"/>
      <c r="AJ59" s="199"/>
      <c r="AK59" s="199"/>
      <c r="AL59" s="199"/>
      <c r="AM59" s="199"/>
      <c r="AN59" s="199"/>
      <c r="AO59" s="199"/>
      <c r="AP59" s="199"/>
      <c r="AQ59" s="199"/>
      <c r="AR59" s="199"/>
      <c r="AS59" s="199"/>
      <c r="AT59" s="292"/>
      <c r="AU59" s="199"/>
      <c r="AV59" s="199"/>
      <c r="AW59" s="199"/>
      <c r="AX59" s="199"/>
      <c r="AY59" s="199"/>
      <c r="AZ59" s="292"/>
      <c r="BA59" s="199"/>
      <c r="BB59" s="199"/>
      <c r="BC59" s="199"/>
      <c r="BD59" s="199"/>
      <c r="BE59" s="199"/>
      <c r="BF59" s="199"/>
      <c r="BG59" s="199"/>
      <c r="BH59" s="199"/>
      <c r="BI59" s="199"/>
      <c r="BJ59" s="199"/>
      <c r="BK59" s="199"/>
      <c r="BL59" s="199"/>
      <c r="BM59" s="199"/>
      <c r="BN59" s="199"/>
      <c r="BO59" s="199"/>
    </row>
    <row r="60" spans="1:67" ht="13.5" customHeight="1">
      <c r="A60" s="199"/>
      <c r="B60" s="198"/>
      <c r="C60" s="199"/>
      <c r="D60" s="199"/>
      <c r="E60" s="199"/>
      <c r="F60" s="199"/>
      <c r="G60" s="199"/>
      <c r="H60" s="199"/>
      <c r="I60" s="199"/>
      <c r="J60" s="199"/>
      <c r="K60" s="199"/>
      <c r="L60" s="199"/>
      <c r="M60" s="199"/>
      <c r="N60" s="199"/>
      <c r="O60" s="199"/>
      <c r="P60" s="199"/>
      <c r="Q60" s="199"/>
      <c r="R60" s="199"/>
      <c r="S60" s="199"/>
      <c r="T60" s="199"/>
      <c r="U60" s="199"/>
      <c r="V60" s="199"/>
      <c r="W60" s="199"/>
      <c r="X60" s="199"/>
      <c r="Y60" s="199"/>
      <c r="Z60" s="199"/>
      <c r="AA60" s="199"/>
      <c r="AB60" s="199"/>
      <c r="AC60" s="199"/>
      <c r="AD60" s="199"/>
      <c r="AE60" s="199"/>
      <c r="AF60" s="199"/>
      <c r="AG60" s="199"/>
      <c r="AH60" s="199"/>
      <c r="AJ60" s="199"/>
      <c r="AK60" s="199"/>
      <c r="AL60" s="199"/>
      <c r="AM60" s="199"/>
      <c r="AN60" s="199"/>
      <c r="AO60" s="199"/>
      <c r="AP60" s="199"/>
      <c r="AQ60" s="199"/>
      <c r="AR60" s="199"/>
      <c r="AS60" s="199"/>
      <c r="AT60" s="199"/>
      <c r="AU60" s="199"/>
      <c r="AV60" s="199"/>
      <c r="AW60" s="199"/>
      <c r="AX60" s="199"/>
      <c r="AY60" s="199"/>
      <c r="AZ60" s="199"/>
      <c r="BA60" s="199"/>
      <c r="BB60" s="199"/>
      <c r="BC60" s="199"/>
      <c r="BD60" s="199"/>
      <c r="BE60" s="199"/>
      <c r="BF60" s="199"/>
      <c r="BG60" s="199"/>
      <c r="BH60" s="199"/>
      <c r="BI60" s="199"/>
      <c r="BJ60" s="199"/>
      <c r="BK60" s="199"/>
      <c r="BL60" s="199"/>
      <c r="BM60" s="199"/>
      <c r="BN60" s="199"/>
      <c r="BO60" s="199"/>
    </row>
    <row r="61" spans="1:67" ht="13.5" customHeight="1">
      <c r="A61" s="199"/>
      <c r="B61" s="198"/>
      <c r="C61" s="199"/>
      <c r="D61" s="199"/>
      <c r="E61" s="199"/>
      <c r="F61" s="199"/>
      <c r="G61" s="199"/>
      <c r="H61" s="199"/>
      <c r="I61" s="199"/>
      <c r="J61" s="199"/>
      <c r="K61" s="199"/>
      <c r="L61" s="199"/>
      <c r="M61" s="199"/>
      <c r="N61" s="199"/>
      <c r="O61" s="199"/>
      <c r="P61" s="199"/>
      <c r="Q61" s="199"/>
      <c r="R61" s="199"/>
      <c r="S61" s="199"/>
      <c r="T61" s="199"/>
      <c r="U61" s="199"/>
      <c r="V61" s="199"/>
      <c r="W61" s="199"/>
      <c r="X61" s="199"/>
      <c r="Y61" s="199"/>
      <c r="Z61" s="199"/>
      <c r="AA61" s="199"/>
      <c r="AB61" s="199"/>
      <c r="AC61" s="199"/>
      <c r="AD61" s="199"/>
      <c r="AE61" s="199"/>
      <c r="AF61" s="199"/>
      <c r="AG61" s="199"/>
      <c r="AH61" s="199"/>
      <c r="AJ61" s="199"/>
      <c r="AK61" s="199"/>
      <c r="AL61" s="199"/>
      <c r="AM61" s="199"/>
      <c r="AN61" s="199"/>
      <c r="AO61" s="199"/>
      <c r="AP61" s="199"/>
      <c r="AQ61" s="199"/>
      <c r="AR61" s="199"/>
      <c r="AS61" s="199"/>
      <c r="AT61" s="199"/>
      <c r="AU61" s="199"/>
      <c r="AV61" s="199"/>
      <c r="AW61" s="199"/>
      <c r="AX61" s="199"/>
      <c r="AY61" s="199"/>
      <c r="AZ61" s="199"/>
      <c r="BA61" s="199"/>
      <c r="BB61" s="199"/>
      <c r="BC61" s="199"/>
      <c r="BD61" s="199"/>
      <c r="BE61" s="199"/>
      <c r="BF61" s="199"/>
      <c r="BG61" s="199"/>
      <c r="BH61" s="199"/>
      <c r="BI61" s="199"/>
      <c r="BJ61" s="199"/>
      <c r="BK61" s="199"/>
      <c r="BL61" s="199"/>
      <c r="BM61" s="199"/>
      <c r="BN61" s="199"/>
      <c r="BO61" s="199"/>
    </row>
  </sheetData>
  <sheetProtection/>
  <mergeCells count="98">
    <mergeCell ref="B21:B22"/>
    <mergeCell ref="A45:A46"/>
    <mergeCell ref="B45:B46"/>
    <mergeCell ref="A33:A34"/>
    <mergeCell ref="A43:A44"/>
    <mergeCell ref="A27:A28"/>
    <mergeCell ref="B41:B42"/>
    <mergeCell ref="A41:A42"/>
    <mergeCell ref="B33:B34"/>
    <mergeCell ref="B27:B28"/>
    <mergeCell ref="A9:A10"/>
    <mergeCell ref="A11:A12"/>
    <mergeCell ref="A13:A14"/>
    <mergeCell ref="B11:B12"/>
    <mergeCell ref="B9:B10"/>
    <mergeCell ref="B13:B14"/>
    <mergeCell ref="A17:A18"/>
    <mergeCell ref="B17:B18"/>
    <mergeCell ref="A19:A20"/>
    <mergeCell ref="A15:A16"/>
    <mergeCell ref="B15:B16"/>
    <mergeCell ref="A51:A52"/>
    <mergeCell ref="B51:B52"/>
    <mergeCell ref="A39:A40"/>
    <mergeCell ref="B37:B38"/>
    <mergeCell ref="A37:A38"/>
    <mergeCell ref="A47:A48"/>
    <mergeCell ref="B47:B48"/>
    <mergeCell ref="A21:A22"/>
    <mergeCell ref="B39:B40"/>
    <mergeCell ref="A57:A58"/>
    <mergeCell ref="B57:B58"/>
    <mergeCell ref="A53:A54"/>
    <mergeCell ref="B53:B54"/>
    <mergeCell ref="A55:A56"/>
    <mergeCell ref="B55:B56"/>
    <mergeCell ref="A35:A36"/>
    <mergeCell ref="B43:B44"/>
    <mergeCell ref="B23:B24"/>
    <mergeCell ref="B35:B36"/>
    <mergeCell ref="B49:B50"/>
    <mergeCell ref="A49:A50"/>
    <mergeCell ref="A31:B32"/>
    <mergeCell ref="B29:B30"/>
    <mergeCell ref="A29:A30"/>
    <mergeCell ref="B25:B26"/>
    <mergeCell ref="A25:A26"/>
    <mergeCell ref="A23:A24"/>
    <mergeCell ref="C6:Q6"/>
    <mergeCell ref="F8:H8"/>
    <mergeCell ref="I8:K8"/>
    <mergeCell ref="L8:N8"/>
    <mergeCell ref="F7:N7"/>
    <mergeCell ref="O7:Q8"/>
    <mergeCell ref="C7:E8"/>
    <mergeCell ref="A6:B8"/>
    <mergeCell ref="BN47:BN48"/>
    <mergeCell ref="R6:AF6"/>
    <mergeCell ref="U7:AC7"/>
    <mergeCell ref="U8:W8"/>
    <mergeCell ref="X8:Z8"/>
    <mergeCell ref="AA8:AC8"/>
    <mergeCell ref="AD7:AF8"/>
    <mergeCell ref="R7:T8"/>
    <mergeCell ref="BN41:BN42"/>
    <mergeCell ref="BN43:BN44"/>
    <mergeCell ref="BN55:BN56"/>
    <mergeCell ref="BN57:BN58"/>
    <mergeCell ref="BN51:BN52"/>
    <mergeCell ref="BN53:BN54"/>
    <mergeCell ref="BN45:BN46"/>
    <mergeCell ref="BN37:BN38"/>
    <mergeCell ref="BN29:BN30"/>
    <mergeCell ref="BN35:BN36"/>
    <mergeCell ref="BN21:BN22"/>
    <mergeCell ref="BN23:BN24"/>
    <mergeCell ref="BN25:BN26"/>
    <mergeCell ref="BN27:BN28"/>
    <mergeCell ref="BN17:BN18"/>
    <mergeCell ref="B19:B20"/>
    <mergeCell ref="BN19:BN20"/>
    <mergeCell ref="BK7:BM8"/>
    <mergeCell ref="BB7:BJ7"/>
    <mergeCell ref="AV7:AX8"/>
    <mergeCell ref="BN11:BN12"/>
    <mergeCell ref="BE8:BG8"/>
    <mergeCell ref="BH8:BJ8"/>
    <mergeCell ref="BN13:BN14"/>
    <mergeCell ref="AM8:AO8"/>
    <mergeCell ref="AP8:AR8"/>
    <mergeCell ref="AS8:AU8"/>
    <mergeCell ref="BI1:BN1"/>
    <mergeCell ref="AJ6:AX6"/>
    <mergeCell ref="AJ7:AL8"/>
    <mergeCell ref="AY6:BM6"/>
    <mergeCell ref="AM7:AU7"/>
    <mergeCell ref="AY7:BA8"/>
    <mergeCell ref="BB8:BD8"/>
  </mergeCells>
  <printOptions horizontalCentered="1"/>
  <pageMargins left="0.3937007874015748" right="0.3937007874015748" top="0.5905511811023623" bottom="0.3937007874015748" header="0" footer="0"/>
  <pageSetup horizontalDpi="600" verticalDpi="600" orientation="portrait" pageOrder="overThenDown" paperSize="9" scale="70" r:id="rId1"/>
  <colBreaks count="1" manualBreakCount="1">
    <brk id="35" max="82" man="1"/>
  </colBreaks>
</worksheet>
</file>

<file path=xl/worksheets/sheet6.xml><?xml version="1.0" encoding="utf-8"?>
<worksheet xmlns="http://schemas.openxmlformats.org/spreadsheetml/2006/main" xmlns:r="http://schemas.openxmlformats.org/officeDocument/2006/relationships">
  <dimension ref="A1:GM67"/>
  <sheetViews>
    <sheetView showZeros="0" view="pageBreakPreview" zoomScaleSheetLayoutView="100" zoomScalePageLayoutView="0" workbookViewId="0" topLeftCell="A1">
      <pane xSplit="2" ySplit="8" topLeftCell="BZ9" activePane="bottomRight" state="frozen"/>
      <selection pane="topLeft" activeCell="P47" sqref="P47"/>
      <selection pane="topRight" activeCell="P47" sqref="P47"/>
      <selection pane="bottomLeft" activeCell="P47" sqref="P47"/>
      <selection pane="bottomRight" activeCell="CX1" sqref="CX1"/>
    </sheetView>
  </sheetViews>
  <sheetFormatPr defaultColWidth="9.00390625" defaultRowHeight="13.5" customHeight="1"/>
  <cols>
    <col min="1" max="1" width="3.625" style="293" customWidth="1"/>
    <col min="2" max="2" width="11.625" style="293" customWidth="1"/>
    <col min="3" max="3" width="2.125" style="293" customWidth="1"/>
    <col min="4" max="4" width="7.625" style="293" customWidth="1"/>
    <col min="5" max="6" width="2.125" style="293" customWidth="1"/>
    <col min="7" max="7" width="7.625" style="293" customWidth="1"/>
    <col min="8" max="9" width="2.125" style="293" customWidth="1"/>
    <col min="10" max="10" width="3.125" style="293" customWidth="1"/>
    <col min="11" max="12" width="2.125" style="293" customWidth="1"/>
    <col min="13" max="13" width="7.625" style="293" customWidth="1"/>
    <col min="14" max="15" width="2.125" style="293" customWidth="1"/>
    <col min="16" max="16" width="7.625" style="293" customWidth="1"/>
    <col min="17" max="18" width="2.00390625" style="293" customWidth="1"/>
    <col min="19" max="19" width="7.625" style="293" customWidth="1"/>
    <col min="20" max="21" width="2.25390625" style="293" customWidth="1"/>
    <col min="22" max="22" width="7.625" style="293" customWidth="1"/>
    <col min="23" max="24" width="2.125" style="293" customWidth="1"/>
    <col min="25" max="25" width="3.125" style="293" customWidth="1"/>
    <col min="26" max="27" width="2.125" style="293" customWidth="1"/>
    <col min="28" max="28" width="7.625" style="293" customWidth="1"/>
    <col min="29" max="30" width="2.125" style="293" customWidth="1"/>
    <col min="31" max="31" width="7.625" style="293" customWidth="1"/>
    <col min="32" max="32" width="2.125" style="293" customWidth="1"/>
    <col min="33" max="33" width="2.625" style="294" customWidth="1"/>
    <col min="34" max="34" width="2.125" style="293" customWidth="1"/>
    <col min="35" max="35" width="8.625" style="293" customWidth="1"/>
    <col min="36" max="37" width="2.125" style="293" customWidth="1"/>
    <col min="38" max="38" width="8.625" style="293" customWidth="1"/>
    <col min="39" max="40" width="2.125" style="293" customWidth="1"/>
    <col min="41" max="41" width="3.125" style="293" customWidth="1"/>
    <col min="42" max="43" width="2.125" style="293" customWidth="1"/>
    <col min="44" max="44" width="8.625" style="293" customWidth="1"/>
    <col min="45" max="46" width="2.125" style="293" customWidth="1"/>
    <col min="47" max="47" width="8.625" style="293" customWidth="1"/>
    <col min="48" max="49" width="2.125" style="293" customWidth="1"/>
    <col min="50" max="50" width="8.625" style="293" customWidth="1"/>
    <col min="51" max="52" width="2.125" style="293" customWidth="1"/>
    <col min="53" max="53" width="8.625" style="293" customWidth="1"/>
    <col min="54" max="55" width="2.125" style="293" customWidth="1"/>
    <col min="56" max="56" width="3.125" style="293" customWidth="1"/>
    <col min="57" max="58" width="2.125" style="293" customWidth="1"/>
    <col min="59" max="59" width="8.625" style="293" customWidth="1"/>
    <col min="60" max="61" width="2.125" style="293" customWidth="1"/>
    <col min="62" max="62" width="8.625" style="293" customWidth="1"/>
    <col min="63" max="63" width="2.125" style="293" customWidth="1"/>
    <col min="64" max="65" width="3.625" style="293" customWidth="1"/>
    <col min="66" max="66" width="11.625" style="293" customWidth="1"/>
    <col min="67" max="67" width="2.125" style="293" customWidth="1"/>
    <col min="68" max="68" width="7.625" style="293" customWidth="1"/>
    <col min="69" max="70" width="2.125" style="293" customWidth="1"/>
    <col min="71" max="71" width="7.625" style="293" customWidth="1"/>
    <col min="72" max="73" width="2.125" style="293" customWidth="1"/>
    <col min="74" max="74" width="3.125" style="293" customWidth="1"/>
    <col min="75" max="76" width="2.125" style="293" customWidth="1"/>
    <col min="77" max="77" width="7.625" style="293" customWidth="1"/>
    <col min="78" max="79" width="2.125" style="293" customWidth="1"/>
    <col min="80" max="80" width="7.625" style="293" customWidth="1"/>
    <col min="81" max="82" width="2.125" style="293" customWidth="1"/>
    <col min="83" max="83" width="7.625" style="293" customWidth="1"/>
    <col min="84" max="85" width="2.125" style="293" customWidth="1"/>
    <col min="86" max="86" width="7.625" style="293" customWidth="1"/>
    <col min="87" max="88" width="2.125" style="293" customWidth="1"/>
    <col min="89" max="89" width="3.125" style="293" customWidth="1"/>
    <col min="90" max="91" width="2.125" style="293" customWidth="1"/>
    <col min="92" max="92" width="7.625" style="293" customWidth="1"/>
    <col min="93" max="94" width="2.125" style="293" customWidth="1"/>
    <col min="95" max="95" width="7.625" style="293" customWidth="1"/>
    <col min="96" max="96" width="2.125" style="293" customWidth="1"/>
    <col min="97" max="97" width="2.625" style="294" customWidth="1"/>
    <col min="98" max="98" width="2.125" style="293" customWidth="1"/>
    <col min="99" max="99" width="8.625" style="293" customWidth="1"/>
    <col min="100" max="101" width="2.125" style="293" customWidth="1"/>
    <col min="102" max="102" width="8.625" style="293" customWidth="1"/>
    <col min="103" max="104" width="2.125" style="293" customWidth="1"/>
    <col min="105" max="105" width="3.125" style="293" customWidth="1"/>
    <col min="106" max="107" width="2.125" style="293" customWidth="1"/>
    <col min="108" max="108" width="8.625" style="293" customWidth="1"/>
    <col min="109" max="110" width="2.125" style="293" customWidth="1"/>
    <col min="111" max="111" width="8.625" style="293" customWidth="1"/>
    <col min="112" max="112" width="2.125" style="293" customWidth="1"/>
    <col min="113" max="113" width="3.625" style="293" customWidth="1"/>
    <col min="114" max="116" width="9.00390625" style="293" customWidth="1"/>
    <col min="117" max="117" width="17.375" style="293" customWidth="1"/>
    <col min="118" max="16384" width="9.00390625" style="293" customWidth="1"/>
  </cols>
  <sheetData>
    <row r="1" spans="1:122" ht="18" customHeight="1">
      <c r="A1" s="467" t="s">
        <v>334</v>
      </c>
      <c r="BG1" s="567" t="s">
        <v>298</v>
      </c>
      <c r="BH1" s="703"/>
      <c r="BI1" s="703"/>
      <c r="BJ1" s="703"/>
      <c r="BK1" s="703"/>
      <c r="BL1" s="703"/>
      <c r="BM1" s="467" t="s">
        <v>335</v>
      </c>
      <c r="DC1" s="567"/>
      <c r="DD1" s="703"/>
      <c r="DE1" s="703"/>
      <c r="DF1" s="703"/>
      <c r="DG1" s="703"/>
      <c r="DH1" s="703"/>
      <c r="DM1" s="567" t="s">
        <v>297</v>
      </c>
      <c r="DN1" s="703"/>
      <c r="DO1" s="703"/>
      <c r="DP1" s="703"/>
      <c r="DQ1" s="703"/>
      <c r="DR1" s="703"/>
    </row>
    <row r="2" ht="45" customHeight="1"/>
    <row r="3" ht="18" customHeight="1"/>
    <row r="4" ht="12" customHeight="1"/>
    <row r="5" spans="1:114" s="197" customFormat="1" ht="13.5" customHeight="1" thickBot="1">
      <c r="A5" s="200"/>
      <c r="B5" s="200"/>
      <c r="C5" s="201"/>
      <c r="D5" s="199"/>
      <c r="E5" s="199"/>
      <c r="F5" s="199"/>
      <c r="G5" s="199"/>
      <c r="H5" s="199"/>
      <c r="I5" s="199"/>
      <c r="J5" s="199"/>
      <c r="K5" s="199"/>
      <c r="L5" s="199"/>
      <c r="M5" s="199"/>
      <c r="N5" s="199"/>
      <c r="O5" s="199"/>
      <c r="P5" s="199"/>
      <c r="Q5" s="199"/>
      <c r="R5" s="199"/>
      <c r="S5" s="199"/>
      <c r="T5" s="199"/>
      <c r="U5" s="199"/>
      <c r="V5" s="199"/>
      <c r="W5" s="199"/>
      <c r="X5" s="199"/>
      <c r="Y5" s="199"/>
      <c r="Z5" s="199"/>
      <c r="AA5" s="199"/>
      <c r="AB5" s="199"/>
      <c r="AC5" s="199"/>
      <c r="AD5" s="199"/>
      <c r="AE5" s="199"/>
      <c r="AF5" s="199"/>
      <c r="AG5" s="198"/>
      <c r="AH5" s="199"/>
      <c r="AI5" s="199"/>
      <c r="AJ5" s="199"/>
      <c r="AK5" s="199"/>
      <c r="AL5" s="199"/>
      <c r="AM5" s="199"/>
      <c r="AN5" s="199"/>
      <c r="AO5" s="199"/>
      <c r="AP5" s="199"/>
      <c r="AQ5" s="199"/>
      <c r="AR5" s="199"/>
      <c r="AS5" s="199"/>
      <c r="AT5" s="199"/>
      <c r="AU5" s="199"/>
      <c r="AV5" s="199"/>
      <c r="AW5" s="199"/>
      <c r="AX5" s="199"/>
      <c r="AY5" s="199"/>
      <c r="AZ5" s="199"/>
      <c r="BA5" s="199"/>
      <c r="BB5" s="199"/>
      <c r="BC5" s="199"/>
      <c r="BD5" s="199"/>
      <c r="BE5" s="199"/>
      <c r="BF5" s="199"/>
      <c r="BG5" s="199"/>
      <c r="BH5" s="199"/>
      <c r="BI5" s="199"/>
      <c r="BJ5" s="199"/>
      <c r="BK5" s="199"/>
      <c r="BL5" s="201" t="s">
        <v>132</v>
      </c>
      <c r="BM5" s="200"/>
      <c r="BN5" s="200"/>
      <c r="BO5" s="199"/>
      <c r="BP5" s="199"/>
      <c r="BQ5" s="199"/>
      <c r="BR5" s="199"/>
      <c r="BS5" s="199"/>
      <c r="BT5" s="199"/>
      <c r="BU5" s="199"/>
      <c r="BV5" s="199"/>
      <c r="BW5" s="199"/>
      <c r="BX5" s="199"/>
      <c r="BY5" s="199"/>
      <c r="BZ5" s="199"/>
      <c r="CA5" s="199"/>
      <c r="CB5" s="199"/>
      <c r="CC5" s="199"/>
      <c r="CD5" s="199"/>
      <c r="CE5" s="199"/>
      <c r="CF5" s="199"/>
      <c r="CG5" s="199"/>
      <c r="CH5" s="199"/>
      <c r="CI5" s="199"/>
      <c r="CJ5" s="199"/>
      <c r="CK5" s="199"/>
      <c r="CL5" s="199"/>
      <c r="CM5" s="199"/>
      <c r="CN5" s="199"/>
      <c r="CO5" s="199"/>
      <c r="CP5" s="199"/>
      <c r="CQ5" s="199"/>
      <c r="CR5" s="199"/>
      <c r="CS5" s="198"/>
      <c r="CT5" s="199"/>
      <c r="CU5" s="199"/>
      <c r="CV5" s="199"/>
      <c r="CW5" s="199"/>
      <c r="CX5" s="199"/>
      <c r="CY5" s="199"/>
      <c r="CZ5" s="199"/>
      <c r="DA5" s="199"/>
      <c r="DB5" s="199"/>
      <c r="DC5" s="199"/>
      <c r="DD5" s="199"/>
      <c r="DE5" s="199"/>
      <c r="DF5" s="199"/>
      <c r="DG5" s="199"/>
      <c r="DH5" s="199"/>
      <c r="DI5" s="201" t="s">
        <v>132</v>
      </c>
      <c r="DJ5" s="199"/>
    </row>
    <row r="6" spans="1:195" s="204" customFormat="1" ht="15.75" customHeight="1">
      <c r="A6" s="627" t="s">
        <v>133</v>
      </c>
      <c r="B6" s="628"/>
      <c r="C6" s="636" t="s">
        <v>191</v>
      </c>
      <c r="D6" s="637"/>
      <c r="E6" s="637"/>
      <c r="F6" s="587"/>
      <c r="G6" s="587"/>
      <c r="H6" s="587"/>
      <c r="I6" s="587"/>
      <c r="J6" s="587"/>
      <c r="K6" s="587"/>
      <c r="L6" s="587"/>
      <c r="M6" s="587"/>
      <c r="N6" s="587"/>
      <c r="O6" s="587"/>
      <c r="P6" s="587"/>
      <c r="Q6" s="588"/>
      <c r="R6" s="636" t="s">
        <v>192</v>
      </c>
      <c r="S6" s="637"/>
      <c r="T6" s="637"/>
      <c r="U6" s="587"/>
      <c r="V6" s="587"/>
      <c r="W6" s="587"/>
      <c r="X6" s="587"/>
      <c r="Y6" s="587"/>
      <c r="Z6" s="587"/>
      <c r="AA6" s="587"/>
      <c r="AB6" s="587"/>
      <c r="AC6" s="587"/>
      <c r="AD6" s="587"/>
      <c r="AE6" s="587"/>
      <c r="AF6" s="588"/>
      <c r="AG6" s="202"/>
      <c r="AH6" s="636" t="s">
        <v>193</v>
      </c>
      <c r="AI6" s="637"/>
      <c r="AJ6" s="637"/>
      <c r="AK6" s="587"/>
      <c r="AL6" s="587"/>
      <c r="AM6" s="587"/>
      <c r="AN6" s="587"/>
      <c r="AO6" s="587"/>
      <c r="AP6" s="587"/>
      <c r="AQ6" s="587"/>
      <c r="AR6" s="587"/>
      <c r="AS6" s="587"/>
      <c r="AT6" s="587"/>
      <c r="AU6" s="587"/>
      <c r="AV6" s="588"/>
      <c r="AW6" s="636" t="s">
        <v>194</v>
      </c>
      <c r="AX6" s="637"/>
      <c r="AY6" s="637"/>
      <c r="AZ6" s="587"/>
      <c r="BA6" s="587"/>
      <c r="BB6" s="587"/>
      <c r="BC6" s="587"/>
      <c r="BD6" s="587"/>
      <c r="BE6" s="587"/>
      <c r="BF6" s="587"/>
      <c r="BG6" s="587"/>
      <c r="BH6" s="587"/>
      <c r="BI6" s="587"/>
      <c r="BJ6" s="587"/>
      <c r="BK6" s="588"/>
      <c r="BL6" s="295"/>
      <c r="BM6" s="627" t="s">
        <v>133</v>
      </c>
      <c r="BN6" s="628"/>
      <c r="BO6" s="636" t="s">
        <v>195</v>
      </c>
      <c r="BP6" s="637"/>
      <c r="BQ6" s="637"/>
      <c r="BR6" s="587"/>
      <c r="BS6" s="587"/>
      <c r="BT6" s="587"/>
      <c r="BU6" s="587"/>
      <c r="BV6" s="587"/>
      <c r="BW6" s="587"/>
      <c r="BX6" s="587"/>
      <c r="BY6" s="587"/>
      <c r="BZ6" s="587"/>
      <c r="CA6" s="587"/>
      <c r="CB6" s="587"/>
      <c r="CC6" s="588"/>
      <c r="CD6" s="636" t="s">
        <v>196</v>
      </c>
      <c r="CE6" s="637"/>
      <c r="CF6" s="637"/>
      <c r="CG6" s="587"/>
      <c r="CH6" s="587"/>
      <c r="CI6" s="587"/>
      <c r="CJ6" s="587"/>
      <c r="CK6" s="587"/>
      <c r="CL6" s="587"/>
      <c r="CM6" s="587"/>
      <c r="CN6" s="587"/>
      <c r="CO6" s="587"/>
      <c r="CP6" s="587"/>
      <c r="CQ6" s="587"/>
      <c r="CR6" s="588"/>
      <c r="CS6" s="202"/>
      <c r="CT6" s="636" t="s">
        <v>197</v>
      </c>
      <c r="CU6" s="637"/>
      <c r="CV6" s="637"/>
      <c r="CW6" s="587"/>
      <c r="CX6" s="587"/>
      <c r="CY6" s="587"/>
      <c r="CZ6" s="587"/>
      <c r="DA6" s="587"/>
      <c r="DB6" s="587"/>
      <c r="DC6" s="587"/>
      <c r="DD6" s="587"/>
      <c r="DE6" s="587"/>
      <c r="DF6" s="587"/>
      <c r="DG6" s="587"/>
      <c r="DH6" s="588"/>
      <c r="DI6" s="295"/>
      <c r="DJ6" s="199"/>
      <c r="DK6" s="199"/>
      <c r="DL6" s="199"/>
      <c r="DM6" s="199"/>
      <c r="DN6" s="199"/>
      <c r="DO6" s="199"/>
      <c r="DP6" s="199"/>
      <c r="DQ6" s="199"/>
      <c r="DR6" s="199"/>
      <c r="DS6" s="199"/>
      <c r="DT6" s="199"/>
      <c r="DU6" s="199"/>
      <c r="DV6" s="199"/>
      <c r="DW6" s="199"/>
      <c r="DX6" s="199"/>
      <c r="DY6" s="199"/>
      <c r="DZ6" s="199"/>
      <c r="EA6" s="199"/>
      <c r="EB6" s="199"/>
      <c r="EC6" s="199"/>
      <c r="ED6" s="199"/>
      <c r="EE6" s="199"/>
      <c r="EF6" s="199"/>
      <c r="EG6" s="199"/>
      <c r="EH6" s="199"/>
      <c r="EI6" s="199"/>
      <c r="EJ6" s="199"/>
      <c r="EK6" s="199"/>
      <c r="EL6" s="199"/>
      <c r="EM6" s="199"/>
      <c r="EN6" s="199"/>
      <c r="EO6" s="199"/>
      <c r="EP6" s="199"/>
      <c r="EQ6" s="199"/>
      <c r="ER6" s="199"/>
      <c r="ES6" s="199"/>
      <c r="ET6" s="199"/>
      <c r="EU6" s="199"/>
      <c r="EV6" s="199"/>
      <c r="EW6" s="199"/>
      <c r="EX6" s="199"/>
      <c r="EY6" s="199"/>
      <c r="EZ6" s="199"/>
      <c r="FA6" s="199"/>
      <c r="FB6" s="199"/>
      <c r="FC6" s="199"/>
      <c r="FD6" s="199"/>
      <c r="FE6" s="199"/>
      <c r="FF6" s="199"/>
      <c r="FG6" s="199"/>
      <c r="FH6" s="199"/>
      <c r="FI6" s="199"/>
      <c r="FJ6" s="199"/>
      <c r="FK6" s="199"/>
      <c r="FL6" s="199"/>
      <c r="FM6" s="199"/>
      <c r="FN6" s="199"/>
      <c r="FO6" s="199"/>
      <c r="FP6" s="199"/>
      <c r="FQ6" s="199"/>
      <c r="FR6" s="199"/>
      <c r="FS6" s="199"/>
      <c r="FT6" s="199"/>
      <c r="FU6" s="199"/>
      <c r="FV6" s="199"/>
      <c r="FW6" s="199"/>
      <c r="FX6" s="199"/>
      <c r="FY6" s="199"/>
      <c r="FZ6" s="199"/>
      <c r="GA6" s="199"/>
      <c r="GB6" s="199"/>
      <c r="GC6" s="199"/>
      <c r="GD6" s="199"/>
      <c r="GE6" s="199"/>
      <c r="GF6" s="199"/>
      <c r="GG6" s="199"/>
      <c r="GH6" s="199"/>
      <c r="GI6" s="199"/>
      <c r="GJ6" s="199"/>
      <c r="GK6" s="199"/>
      <c r="GL6" s="199"/>
      <c r="GM6" s="199"/>
    </row>
    <row r="7" spans="1:195" s="204" customFormat="1" ht="15.75" customHeight="1">
      <c r="A7" s="646"/>
      <c r="B7" s="647"/>
      <c r="C7" s="598" t="s">
        <v>138</v>
      </c>
      <c r="D7" s="593"/>
      <c r="E7" s="599"/>
      <c r="F7" s="589" t="s">
        <v>139</v>
      </c>
      <c r="G7" s="590"/>
      <c r="H7" s="590"/>
      <c r="I7" s="590"/>
      <c r="J7" s="590"/>
      <c r="K7" s="590"/>
      <c r="L7" s="590"/>
      <c r="M7" s="590"/>
      <c r="N7" s="591"/>
      <c r="O7" s="592" t="s">
        <v>140</v>
      </c>
      <c r="P7" s="593"/>
      <c r="Q7" s="594"/>
      <c r="R7" s="598" t="s">
        <v>138</v>
      </c>
      <c r="S7" s="593"/>
      <c r="T7" s="599"/>
      <c r="U7" s="589" t="s">
        <v>139</v>
      </c>
      <c r="V7" s="590"/>
      <c r="W7" s="590"/>
      <c r="X7" s="590"/>
      <c r="Y7" s="590"/>
      <c r="Z7" s="590"/>
      <c r="AA7" s="590"/>
      <c r="AB7" s="590"/>
      <c r="AC7" s="591"/>
      <c r="AD7" s="592" t="s">
        <v>140</v>
      </c>
      <c r="AE7" s="593"/>
      <c r="AF7" s="594"/>
      <c r="AG7" s="205"/>
      <c r="AH7" s="598" t="s">
        <v>138</v>
      </c>
      <c r="AI7" s="593"/>
      <c r="AJ7" s="599"/>
      <c r="AK7" s="589" t="s">
        <v>139</v>
      </c>
      <c r="AL7" s="590"/>
      <c r="AM7" s="590"/>
      <c r="AN7" s="590"/>
      <c r="AO7" s="590"/>
      <c r="AP7" s="590"/>
      <c r="AQ7" s="590"/>
      <c r="AR7" s="590"/>
      <c r="AS7" s="591"/>
      <c r="AT7" s="592" t="s">
        <v>140</v>
      </c>
      <c r="AU7" s="593"/>
      <c r="AV7" s="594"/>
      <c r="AW7" s="598" t="s">
        <v>138</v>
      </c>
      <c r="AX7" s="593"/>
      <c r="AY7" s="599"/>
      <c r="AZ7" s="589" t="s">
        <v>139</v>
      </c>
      <c r="BA7" s="590"/>
      <c r="BB7" s="590"/>
      <c r="BC7" s="590"/>
      <c r="BD7" s="590"/>
      <c r="BE7" s="590"/>
      <c r="BF7" s="590"/>
      <c r="BG7" s="590"/>
      <c r="BH7" s="591"/>
      <c r="BI7" s="592" t="s">
        <v>140</v>
      </c>
      <c r="BJ7" s="593"/>
      <c r="BK7" s="594"/>
      <c r="BL7" s="296"/>
      <c r="BM7" s="646"/>
      <c r="BN7" s="647"/>
      <c r="BO7" s="598" t="s">
        <v>138</v>
      </c>
      <c r="BP7" s="593"/>
      <c r="BQ7" s="599"/>
      <c r="BR7" s="589" t="s">
        <v>139</v>
      </c>
      <c r="BS7" s="590"/>
      <c r="BT7" s="590"/>
      <c r="BU7" s="590"/>
      <c r="BV7" s="590"/>
      <c r="BW7" s="590"/>
      <c r="BX7" s="590"/>
      <c r="BY7" s="590"/>
      <c r="BZ7" s="591"/>
      <c r="CA7" s="592" t="s">
        <v>140</v>
      </c>
      <c r="CB7" s="593"/>
      <c r="CC7" s="594"/>
      <c r="CD7" s="598" t="s">
        <v>138</v>
      </c>
      <c r="CE7" s="593"/>
      <c r="CF7" s="599"/>
      <c r="CG7" s="589" t="s">
        <v>139</v>
      </c>
      <c r="CH7" s="590"/>
      <c r="CI7" s="590"/>
      <c r="CJ7" s="590"/>
      <c r="CK7" s="590"/>
      <c r="CL7" s="590"/>
      <c r="CM7" s="590"/>
      <c r="CN7" s="590"/>
      <c r="CO7" s="591"/>
      <c r="CP7" s="592" t="s">
        <v>140</v>
      </c>
      <c r="CQ7" s="593"/>
      <c r="CR7" s="594"/>
      <c r="CS7" s="205"/>
      <c r="CT7" s="598" t="s">
        <v>138</v>
      </c>
      <c r="CU7" s="593"/>
      <c r="CV7" s="599"/>
      <c r="CW7" s="589" t="s">
        <v>139</v>
      </c>
      <c r="CX7" s="590"/>
      <c r="CY7" s="590"/>
      <c r="CZ7" s="590"/>
      <c r="DA7" s="590"/>
      <c r="DB7" s="590"/>
      <c r="DC7" s="590"/>
      <c r="DD7" s="590"/>
      <c r="DE7" s="591"/>
      <c r="DF7" s="592" t="s">
        <v>140</v>
      </c>
      <c r="DG7" s="593"/>
      <c r="DH7" s="594"/>
      <c r="DI7" s="296"/>
      <c r="DJ7" s="199"/>
      <c r="DK7" s="199"/>
      <c r="DL7" s="199"/>
      <c r="DM7" s="199"/>
      <c r="DN7" s="199"/>
      <c r="DO7" s="199"/>
      <c r="DP7" s="199"/>
      <c r="DQ7" s="199"/>
      <c r="DR7" s="199"/>
      <c r="DS7" s="199"/>
      <c r="DT7" s="199"/>
      <c r="DU7" s="199"/>
      <c r="DV7" s="199"/>
      <c r="DW7" s="199"/>
      <c r="DX7" s="199"/>
      <c r="DY7" s="199"/>
      <c r="DZ7" s="199"/>
      <c r="EA7" s="199"/>
      <c r="EB7" s="199"/>
      <c r="EC7" s="199"/>
      <c r="ED7" s="199"/>
      <c r="EE7" s="199"/>
      <c r="EF7" s="199"/>
      <c r="EG7" s="199"/>
      <c r="EH7" s="199"/>
      <c r="EI7" s="199"/>
      <c r="EJ7" s="199"/>
      <c r="EK7" s="199"/>
      <c r="EL7" s="199"/>
      <c r="EM7" s="199"/>
      <c r="EN7" s="199"/>
      <c r="EO7" s="199"/>
      <c r="EP7" s="199"/>
      <c r="EQ7" s="199"/>
      <c r="ER7" s="199"/>
      <c r="ES7" s="199"/>
      <c r="ET7" s="199"/>
      <c r="EU7" s="199"/>
      <c r="EV7" s="199"/>
      <c r="EW7" s="199"/>
      <c r="EX7" s="199"/>
      <c r="EY7" s="199"/>
      <c r="EZ7" s="199"/>
      <c r="FA7" s="199"/>
      <c r="FB7" s="199"/>
      <c r="FC7" s="199"/>
      <c r="FD7" s="199"/>
      <c r="FE7" s="199"/>
      <c r="FF7" s="199"/>
      <c r="FG7" s="199"/>
      <c r="FH7" s="199"/>
      <c r="FI7" s="199"/>
      <c r="FJ7" s="199"/>
      <c r="FK7" s="199"/>
      <c r="FL7" s="199"/>
      <c r="FM7" s="199"/>
      <c r="FN7" s="199"/>
      <c r="FO7" s="199"/>
      <c r="FP7" s="199"/>
      <c r="FQ7" s="199"/>
      <c r="FR7" s="199"/>
      <c r="FS7" s="199"/>
      <c r="FT7" s="199"/>
      <c r="FU7" s="199"/>
      <c r="FV7" s="199"/>
      <c r="FW7" s="199"/>
      <c r="FX7" s="199"/>
      <c r="FY7" s="199"/>
      <c r="FZ7" s="199"/>
      <c r="GA7" s="199"/>
      <c r="GB7" s="199"/>
      <c r="GC7" s="199"/>
      <c r="GD7" s="199"/>
      <c r="GE7" s="199"/>
      <c r="GF7" s="199"/>
      <c r="GG7" s="199"/>
      <c r="GH7" s="199"/>
      <c r="GI7" s="199"/>
      <c r="GJ7" s="199"/>
      <c r="GK7" s="199"/>
      <c r="GL7" s="199"/>
      <c r="GM7" s="199"/>
    </row>
    <row r="8" spans="1:195" s="204" customFormat="1" ht="15.75" customHeight="1" thickBot="1">
      <c r="A8" s="648"/>
      <c r="B8" s="641"/>
      <c r="C8" s="648"/>
      <c r="D8" s="640"/>
      <c r="E8" s="649"/>
      <c r="F8" s="602" t="s">
        <v>141</v>
      </c>
      <c r="G8" s="603"/>
      <c r="H8" s="604"/>
      <c r="I8" s="602" t="s">
        <v>142</v>
      </c>
      <c r="J8" s="603"/>
      <c r="K8" s="604"/>
      <c r="L8" s="602" t="s">
        <v>143</v>
      </c>
      <c r="M8" s="603"/>
      <c r="N8" s="604"/>
      <c r="O8" s="639"/>
      <c r="P8" s="640"/>
      <c r="Q8" s="641"/>
      <c r="R8" s="648"/>
      <c r="S8" s="640"/>
      <c r="T8" s="649"/>
      <c r="U8" s="602" t="s">
        <v>141</v>
      </c>
      <c r="V8" s="603"/>
      <c r="W8" s="604"/>
      <c r="X8" s="602" t="s">
        <v>142</v>
      </c>
      <c r="Y8" s="603"/>
      <c r="Z8" s="604"/>
      <c r="AA8" s="602" t="s">
        <v>143</v>
      </c>
      <c r="AB8" s="603"/>
      <c r="AC8" s="604"/>
      <c r="AD8" s="639"/>
      <c r="AE8" s="640"/>
      <c r="AF8" s="641"/>
      <c r="AG8" s="297"/>
      <c r="AH8" s="648"/>
      <c r="AI8" s="640"/>
      <c r="AJ8" s="649"/>
      <c r="AK8" s="602" t="s">
        <v>141</v>
      </c>
      <c r="AL8" s="603"/>
      <c r="AM8" s="604"/>
      <c r="AN8" s="602" t="s">
        <v>142</v>
      </c>
      <c r="AO8" s="603"/>
      <c r="AP8" s="604"/>
      <c r="AQ8" s="602" t="s">
        <v>143</v>
      </c>
      <c r="AR8" s="603"/>
      <c r="AS8" s="604"/>
      <c r="AT8" s="639"/>
      <c r="AU8" s="640"/>
      <c r="AV8" s="641"/>
      <c r="AW8" s="648"/>
      <c r="AX8" s="640"/>
      <c r="AY8" s="649"/>
      <c r="AZ8" s="602" t="s">
        <v>141</v>
      </c>
      <c r="BA8" s="603"/>
      <c r="BB8" s="604"/>
      <c r="BC8" s="602" t="s">
        <v>142</v>
      </c>
      <c r="BD8" s="603"/>
      <c r="BE8" s="604"/>
      <c r="BF8" s="602" t="s">
        <v>143</v>
      </c>
      <c r="BG8" s="603"/>
      <c r="BH8" s="604"/>
      <c r="BI8" s="639"/>
      <c r="BJ8" s="640"/>
      <c r="BK8" s="641"/>
      <c r="BL8" s="298"/>
      <c r="BM8" s="648"/>
      <c r="BN8" s="641"/>
      <c r="BO8" s="648"/>
      <c r="BP8" s="640"/>
      <c r="BQ8" s="649"/>
      <c r="BR8" s="602" t="s">
        <v>141</v>
      </c>
      <c r="BS8" s="603"/>
      <c r="BT8" s="604"/>
      <c r="BU8" s="602" t="s">
        <v>142</v>
      </c>
      <c r="BV8" s="603"/>
      <c r="BW8" s="604"/>
      <c r="BX8" s="602" t="s">
        <v>143</v>
      </c>
      <c r="BY8" s="603"/>
      <c r="BZ8" s="604"/>
      <c r="CA8" s="639"/>
      <c r="CB8" s="640"/>
      <c r="CC8" s="641"/>
      <c r="CD8" s="648"/>
      <c r="CE8" s="640"/>
      <c r="CF8" s="649"/>
      <c r="CG8" s="602" t="s">
        <v>141</v>
      </c>
      <c r="CH8" s="603"/>
      <c r="CI8" s="604"/>
      <c r="CJ8" s="602" t="s">
        <v>142</v>
      </c>
      <c r="CK8" s="603"/>
      <c r="CL8" s="604"/>
      <c r="CM8" s="602" t="s">
        <v>143</v>
      </c>
      <c r="CN8" s="603"/>
      <c r="CO8" s="604"/>
      <c r="CP8" s="639"/>
      <c r="CQ8" s="640"/>
      <c r="CR8" s="641"/>
      <c r="CS8" s="297"/>
      <c r="CT8" s="648"/>
      <c r="CU8" s="640"/>
      <c r="CV8" s="649"/>
      <c r="CW8" s="602" t="s">
        <v>141</v>
      </c>
      <c r="CX8" s="603"/>
      <c r="CY8" s="604"/>
      <c r="CZ8" s="602" t="s">
        <v>142</v>
      </c>
      <c r="DA8" s="603"/>
      <c r="DB8" s="604"/>
      <c r="DC8" s="602" t="s">
        <v>143</v>
      </c>
      <c r="DD8" s="603"/>
      <c r="DE8" s="604"/>
      <c r="DF8" s="639"/>
      <c r="DG8" s="640"/>
      <c r="DH8" s="641"/>
      <c r="DI8" s="296"/>
      <c r="DJ8" s="199"/>
      <c r="DK8" s="199"/>
      <c r="DL8" s="199"/>
      <c r="DM8" s="199"/>
      <c r="DN8" s="199"/>
      <c r="DO8" s="199"/>
      <c r="DP8" s="199"/>
      <c r="DQ8" s="199"/>
      <c r="DR8" s="199"/>
      <c r="DS8" s="199"/>
      <c r="DT8" s="199"/>
      <c r="DU8" s="199"/>
      <c r="DV8" s="199"/>
      <c r="DW8" s="199"/>
      <c r="DX8" s="199"/>
      <c r="DY8" s="199"/>
      <c r="DZ8" s="199"/>
      <c r="EA8" s="199"/>
      <c r="EB8" s="199"/>
      <c r="EC8" s="199"/>
      <c r="ED8" s="199"/>
      <c r="EE8" s="199"/>
      <c r="EF8" s="199"/>
      <c r="EG8" s="199"/>
      <c r="EH8" s="199"/>
      <c r="EI8" s="199"/>
      <c r="EJ8" s="199"/>
      <c r="EK8" s="199"/>
      <c r="EL8" s="199"/>
      <c r="EM8" s="199"/>
      <c r="EN8" s="199"/>
      <c r="EO8" s="199"/>
      <c r="EP8" s="199"/>
      <c r="EQ8" s="199"/>
      <c r="ER8" s="199"/>
      <c r="ES8" s="199"/>
      <c r="ET8" s="199"/>
      <c r="EU8" s="199"/>
      <c r="EV8" s="199"/>
      <c r="EW8" s="199"/>
      <c r="EX8" s="199"/>
      <c r="EY8" s="199"/>
      <c r="EZ8" s="199"/>
      <c r="FA8" s="199"/>
      <c r="FB8" s="199"/>
      <c r="FC8" s="199"/>
      <c r="FD8" s="199"/>
      <c r="FE8" s="199"/>
      <c r="FF8" s="199"/>
      <c r="FG8" s="199"/>
      <c r="FH8" s="199"/>
      <c r="FI8" s="199"/>
      <c r="FJ8" s="199"/>
      <c r="FK8" s="199"/>
      <c r="FL8" s="199"/>
      <c r="FM8" s="199"/>
      <c r="FN8" s="199"/>
      <c r="FO8" s="199"/>
      <c r="FP8" s="199"/>
      <c r="FQ8" s="199"/>
      <c r="FR8" s="199"/>
      <c r="FS8" s="199"/>
      <c r="FT8" s="199"/>
      <c r="FU8" s="199"/>
      <c r="FV8" s="199"/>
      <c r="FW8" s="199"/>
      <c r="FX8" s="199"/>
      <c r="FY8" s="199"/>
      <c r="FZ8" s="199"/>
      <c r="GA8" s="199"/>
      <c r="GB8" s="199"/>
      <c r="GC8" s="199"/>
      <c r="GD8" s="199"/>
      <c r="GE8" s="199"/>
      <c r="GF8" s="199"/>
      <c r="GG8" s="199"/>
      <c r="GH8" s="199"/>
      <c r="GI8" s="199"/>
      <c r="GJ8" s="199"/>
      <c r="GK8" s="199"/>
      <c r="GL8" s="199"/>
      <c r="GM8" s="199"/>
    </row>
    <row r="9" spans="1:114" s="197" customFormat="1" ht="15.75" customHeight="1">
      <c r="A9" s="629" t="s">
        <v>144</v>
      </c>
      <c r="B9" s="630"/>
      <c r="C9" s="209" t="s">
        <v>145</v>
      </c>
      <c r="D9" s="209"/>
      <c r="E9" s="209" t="s">
        <v>146</v>
      </c>
      <c r="F9" s="210" t="s">
        <v>145</v>
      </c>
      <c r="G9" s="209"/>
      <c r="H9" s="209" t="s">
        <v>146</v>
      </c>
      <c r="I9" s="210" t="s">
        <v>145</v>
      </c>
      <c r="J9" s="209"/>
      <c r="K9" s="209" t="s">
        <v>146</v>
      </c>
      <c r="L9" s="210" t="s">
        <v>145</v>
      </c>
      <c r="M9" s="209"/>
      <c r="N9" s="209" t="s">
        <v>146</v>
      </c>
      <c r="O9" s="210" t="s">
        <v>145</v>
      </c>
      <c r="P9" s="209"/>
      <c r="Q9" s="211" t="s">
        <v>146</v>
      </c>
      <c r="R9" s="208" t="s">
        <v>145</v>
      </c>
      <c r="S9" s="209"/>
      <c r="T9" s="209" t="s">
        <v>146</v>
      </c>
      <c r="U9" s="210" t="s">
        <v>145</v>
      </c>
      <c r="V9" s="209"/>
      <c r="W9" s="209" t="s">
        <v>146</v>
      </c>
      <c r="X9" s="210" t="s">
        <v>145</v>
      </c>
      <c r="Y9" s="209"/>
      <c r="Z9" s="209" t="s">
        <v>146</v>
      </c>
      <c r="AA9" s="210" t="s">
        <v>145</v>
      </c>
      <c r="AB9" s="209"/>
      <c r="AC9" s="209" t="s">
        <v>146</v>
      </c>
      <c r="AD9" s="210" t="s">
        <v>145</v>
      </c>
      <c r="AE9" s="209"/>
      <c r="AF9" s="211" t="s">
        <v>146</v>
      </c>
      <c r="AG9" s="209"/>
      <c r="AH9" s="208" t="s">
        <v>145</v>
      </c>
      <c r="AI9" s="209"/>
      <c r="AJ9" s="209" t="s">
        <v>146</v>
      </c>
      <c r="AK9" s="210" t="s">
        <v>145</v>
      </c>
      <c r="AL9" s="209"/>
      <c r="AM9" s="209" t="s">
        <v>146</v>
      </c>
      <c r="AN9" s="210" t="s">
        <v>145</v>
      </c>
      <c r="AO9" s="209"/>
      <c r="AP9" s="209" t="s">
        <v>146</v>
      </c>
      <c r="AQ9" s="210" t="s">
        <v>145</v>
      </c>
      <c r="AR9" s="209"/>
      <c r="AS9" s="209" t="s">
        <v>146</v>
      </c>
      <c r="AT9" s="210" t="s">
        <v>145</v>
      </c>
      <c r="AU9" s="209"/>
      <c r="AV9" s="211" t="s">
        <v>146</v>
      </c>
      <c r="AW9" s="209" t="s">
        <v>145</v>
      </c>
      <c r="AX9" s="209"/>
      <c r="AY9" s="209" t="s">
        <v>146</v>
      </c>
      <c r="AZ9" s="210" t="s">
        <v>145</v>
      </c>
      <c r="BA9" s="209"/>
      <c r="BB9" s="209" t="s">
        <v>146</v>
      </c>
      <c r="BC9" s="210" t="s">
        <v>145</v>
      </c>
      <c r="BD9" s="209"/>
      <c r="BE9" s="209" t="s">
        <v>146</v>
      </c>
      <c r="BF9" s="210" t="s">
        <v>145</v>
      </c>
      <c r="BG9" s="209"/>
      <c r="BH9" s="209" t="s">
        <v>146</v>
      </c>
      <c r="BI9" s="210" t="s">
        <v>145</v>
      </c>
      <c r="BJ9" s="209"/>
      <c r="BK9" s="211" t="s">
        <v>146</v>
      </c>
      <c r="BL9" s="605" t="s">
        <v>307</v>
      </c>
      <c r="BM9" s="629" t="s">
        <v>144</v>
      </c>
      <c r="BN9" s="630"/>
      <c r="BO9" s="209" t="s">
        <v>145</v>
      </c>
      <c r="BP9" s="209"/>
      <c r="BQ9" s="209" t="s">
        <v>146</v>
      </c>
      <c r="BR9" s="210" t="s">
        <v>145</v>
      </c>
      <c r="BS9" s="209"/>
      <c r="BT9" s="209" t="s">
        <v>146</v>
      </c>
      <c r="BU9" s="210" t="s">
        <v>145</v>
      </c>
      <c r="BV9" s="209"/>
      <c r="BW9" s="209" t="s">
        <v>146</v>
      </c>
      <c r="BX9" s="210" t="s">
        <v>145</v>
      </c>
      <c r="BY9" s="209"/>
      <c r="BZ9" s="209" t="s">
        <v>146</v>
      </c>
      <c r="CA9" s="210" t="s">
        <v>145</v>
      </c>
      <c r="CB9" s="209"/>
      <c r="CC9" s="211" t="s">
        <v>146</v>
      </c>
      <c r="CD9" s="208" t="s">
        <v>145</v>
      </c>
      <c r="CE9" s="209">
        <v>18222</v>
      </c>
      <c r="CF9" s="209" t="s">
        <v>146</v>
      </c>
      <c r="CG9" s="210" t="s">
        <v>145</v>
      </c>
      <c r="CH9" s="209">
        <v>6446</v>
      </c>
      <c r="CI9" s="209" t="s">
        <v>146</v>
      </c>
      <c r="CJ9" s="210" t="s">
        <v>145</v>
      </c>
      <c r="CK9" s="209"/>
      <c r="CL9" s="209" t="s">
        <v>146</v>
      </c>
      <c r="CM9" s="210" t="s">
        <v>145</v>
      </c>
      <c r="CN9" s="209">
        <v>6446</v>
      </c>
      <c r="CO9" s="209" t="s">
        <v>146</v>
      </c>
      <c r="CP9" s="210" t="s">
        <v>145</v>
      </c>
      <c r="CQ9" s="209">
        <v>11776</v>
      </c>
      <c r="CR9" s="211" t="s">
        <v>146</v>
      </c>
      <c r="CS9" s="209"/>
      <c r="CT9" s="208" t="s">
        <v>145</v>
      </c>
      <c r="CU9" s="209">
        <v>723</v>
      </c>
      <c r="CV9" s="209" t="s">
        <v>146</v>
      </c>
      <c r="CW9" s="210" t="s">
        <v>145</v>
      </c>
      <c r="CX9" s="209">
        <v>286</v>
      </c>
      <c r="CY9" s="209" t="s">
        <v>146</v>
      </c>
      <c r="CZ9" s="210" t="s">
        <v>145</v>
      </c>
      <c r="DA9" s="209"/>
      <c r="DB9" s="209" t="s">
        <v>146</v>
      </c>
      <c r="DC9" s="210" t="s">
        <v>145</v>
      </c>
      <c r="DD9" s="209">
        <v>286</v>
      </c>
      <c r="DE9" s="209" t="s">
        <v>146</v>
      </c>
      <c r="DF9" s="210" t="s">
        <v>145</v>
      </c>
      <c r="DG9" s="209">
        <v>437</v>
      </c>
      <c r="DH9" s="211" t="s">
        <v>146</v>
      </c>
      <c r="DI9" s="605" t="s">
        <v>307</v>
      </c>
      <c r="DJ9" s="199"/>
    </row>
    <row r="10" spans="1:114" s="197" customFormat="1" ht="15.75" customHeight="1" thickBot="1">
      <c r="A10" s="629"/>
      <c r="B10" s="630"/>
      <c r="C10" s="209"/>
      <c r="D10" s="209">
        <v>262</v>
      </c>
      <c r="E10" s="209"/>
      <c r="F10" s="212"/>
      <c r="G10" s="209"/>
      <c r="H10" s="209"/>
      <c r="I10" s="212"/>
      <c r="J10" s="209"/>
      <c r="K10" s="209"/>
      <c r="L10" s="212"/>
      <c r="M10" s="209"/>
      <c r="N10" s="209"/>
      <c r="O10" s="212"/>
      <c r="P10" s="209">
        <v>262</v>
      </c>
      <c r="Q10" s="211"/>
      <c r="R10" s="208"/>
      <c r="S10" s="209">
        <v>49</v>
      </c>
      <c r="T10" s="209"/>
      <c r="U10" s="212"/>
      <c r="V10" s="209"/>
      <c r="W10" s="209"/>
      <c r="X10" s="212"/>
      <c r="Y10" s="209">
        <v>1</v>
      </c>
      <c r="Z10" s="209"/>
      <c r="AA10" s="212"/>
      <c r="AB10" s="209">
        <v>1</v>
      </c>
      <c r="AC10" s="209"/>
      <c r="AD10" s="212"/>
      <c r="AE10" s="209">
        <v>48</v>
      </c>
      <c r="AF10" s="211"/>
      <c r="AG10" s="209"/>
      <c r="AH10" s="208"/>
      <c r="AI10" s="209">
        <v>2551</v>
      </c>
      <c r="AJ10" s="209"/>
      <c r="AK10" s="212"/>
      <c r="AL10" s="209">
        <v>189</v>
      </c>
      <c r="AM10" s="209"/>
      <c r="AN10" s="212"/>
      <c r="AO10" s="209">
        <v>1</v>
      </c>
      <c r="AP10" s="209"/>
      <c r="AQ10" s="212"/>
      <c r="AR10" s="209">
        <v>190</v>
      </c>
      <c r="AS10" s="209"/>
      <c r="AT10" s="212"/>
      <c r="AU10" s="209">
        <v>2361</v>
      </c>
      <c r="AV10" s="211"/>
      <c r="AW10" s="209"/>
      <c r="AX10" s="209">
        <v>325</v>
      </c>
      <c r="AY10" s="209"/>
      <c r="AZ10" s="212"/>
      <c r="BA10" s="209">
        <v>298</v>
      </c>
      <c r="BB10" s="209"/>
      <c r="BC10" s="212"/>
      <c r="BD10" s="209"/>
      <c r="BE10" s="209"/>
      <c r="BF10" s="212"/>
      <c r="BG10" s="209">
        <v>298</v>
      </c>
      <c r="BH10" s="209"/>
      <c r="BI10" s="212"/>
      <c r="BJ10" s="209">
        <v>27</v>
      </c>
      <c r="BK10" s="211"/>
      <c r="BL10" s="606"/>
      <c r="BM10" s="629"/>
      <c r="BN10" s="630"/>
      <c r="BO10" s="209"/>
      <c r="BP10" s="209">
        <v>26</v>
      </c>
      <c r="BQ10" s="209"/>
      <c r="BR10" s="212"/>
      <c r="BS10" s="209">
        <v>16</v>
      </c>
      <c r="BT10" s="209"/>
      <c r="BU10" s="212"/>
      <c r="BV10" s="209"/>
      <c r="BW10" s="209"/>
      <c r="BX10" s="212"/>
      <c r="BY10" s="209">
        <v>16</v>
      </c>
      <c r="BZ10" s="209"/>
      <c r="CA10" s="212"/>
      <c r="CB10" s="209">
        <v>10</v>
      </c>
      <c r="CC10" s="211"/>
      <c r="CD10" s="208"/>
      <c r="CE10" s="209">
        <v>972</v>
      </c>
      <c r="CF10" s="209"/>
      <c r="CG10" s="212"/>
      <c r="CH10" s="209">
        <v>531</v>
      </c>
      <c r="CI10" s="209"/>
      <c r="CJ10" s="212"/>
      <c r="CK10" s="209"/>
      <c r="CL10" s="209"/>
      <c r="CM10" s="212"/>
      <c r="CN10" s="209">
        <v>531</v>
      </c>
      <c r="CO10" s="209"/>
      <c r="CP10" s="212"/>
      <c r="CQ10" s="209">
        <v>441</v>
      </c>
      <c r="CR10" s="211"/>
      <c r="CS10" s="209"/>
      <c r="CT10" s="208"/>
      <c r="CU10" s="209">
        <v>838</v>
      </c>
      <c r="CV10" s="209"/>
      <c r="CW10" s="212"/>
      <c r="CX10" s="209">
        <v>829</v>
      </c>
      <c r="CY10" s="209"/>
      <c r="CZ10" s="212"/>
      <c r="DA10" s="209"/>
      <c r="DB10" s="209"/>
      <c r="DC10" s="212"/>
      <c r="DD10" s="209">
        <v>829</v>
      </c>
      <c r="DE10" s="209"/>
      <c r="DF10" s="212"/>
      <c r="DG10" s="209">
        <v>9</v>
      </c>
      <c r="DH10" s="211"/>
      <c r="DI10" s="606"/>
      <c r="DJ10" s="199"/>
    </row>
    <row r="11" spans="1:114" s="197" customFormat="1" ht="15.75" customHeight="1">
      <c r="A11" s="621" t="s">
        <v>147</v>
      </c>
      <c r="B11" s="622"/>
      <c r="C11" s="213" t="s">
        <v>308</v>
      </c>
      <c r="D11" s="214"/>
      <c r="E11" s="214" t="s">
        <v>309</v>
      </c>
      <c r="F11" s="210" t="s">
        <v>308</v>
      </c>
      <c r="G11" s="214"/>
      <c r="H11" s="214" t="s">
        <v>309</v>
      </c>
      <c r="I11" s="210" t="s">
        <v>308</v>
      </c>
      <c r="J11" s="214"/>
      <c r="K11" s="214" t="s">
        <v>309</v>
      </c>
      <c r="L11" s="210" t="s">
        <v>308</v>
      </c>
      <c r="M11" s="214"/>
      <c r="N11" s="214" t="s">
        <v>309</v>
      </c>
      <c r="O11" s="210" t="s">
        <v>308</v>
      </c>
      <c r="P11" s="214"/>
      <c r="Q11" s="214" t="s">
        <v>309</v>
      </c>
      <c r="R11" s="213" t="s">
        <v>308</v>
      </c>
      <c r="S11" s="214"/>
      <c r="T11" s="214"/>
      <c r="U11" s="210"/>
      <c r="V11" s="214"/>
      <c r="W11" s="214"/>
      <c r="X11" s="210"/>
      <c r="Y11" s="214"/>
      <c r="Z11" s="214"/>
      <c r="AA11" s="210"/>
      <c r="AB11" s="214"/>
      <c r="AC11" s="214"/>
      <c r="AD11" s="210"/>
      <c r="AE11" s="214"/>
      <c r="AF11" s="215"/>
      <c r="AG11" s="209"/>
      <c r="AH11" s="213" t="s">
        <v>308</v>
      </c>
      <c r="AI11" s="214"/>
      <c r="AJ11" s="214" t="s">
        <v>309</v>
      </c>
      <c r="AK11" s="210" t="s">
        <v>308</v>
      </c>
      <c r="AL11" s="214"/>
      <c r="AM11" s="214" t="s">
        <v>309</v>
      </c>
      <c r="AN11" s="210" t="s">
        <v>308</v>
      </c>
      <c r="AO11" s="214"/>
      <c r="AP11" s="214" t="s">
        <v>309</v>
      </c>
      <c r="AQ11" s="210" t="s">
        <v>308</v>
      </c>
      <c r="AR11" s="214"/>
      <c r="AS11" s="214" t="s">
        <v>309</v>
      </c>
      <c r="AT11" s="210" t="s">
        <v>308</v>
      </c>
      <c r="AU11" s="214"/>
      <c r="AV11" s="215" t="s">
        <v>309</v>
      </c>
      <c r="AW11" s="214" t="s">
        <v>308</v>
      </c>
      <c r="AX11" s="214"/>
      <c r="AY11" s="214" t="s">
        <v>309</v>
      </c>
      <c r="AZ11" s="210" t="s">
        <v>308</v>
      </c>
      <c r="BA11" s="214"/>
      <c r="BB11" s="214" t="s">
        <v>309</v>
      </c>
      <c r="BC11" s="210"/>
      <c r="BD11" s="214"/>
      <c r="BE11" s="214"/>
      <c r="BF11" s="210" t="s">
        <v>308</v>
      </c>
      <c r="BG11" s="214"/>
      <c r="BH11" s="214" t="s">
        <v>309</v>
      </c>
      <c r="BI11" s="210" t="s">
        <v>308</v>
      </c>
      <c r="BJ11" s="214"/>
      <c r="BK11" s="215" t="s">
        <v>309</v>
      </c>
      <c r="BL11" s="642" t="s">
        <v>310</v>
      </c>
      <c r="BM11" s="621" t="s">
        <v>147</v>
      </c>
      <c r="BN11" s="622"/>
      <c r="BO11" s="213" t="s">
        <v>308</v>
      </c>
      <c r="BP11" s="214"/>
      <c r="BQ11" s="214" t="s">
        <v>309</v>
      </c>
      <c r="BR11" s="210" t="s">
        <v>308</v>
      </c>
      <c r="BS11" s="214"/>
      <c r="BT11" s="214" t="s">
        <v>309</v>
      </c>
      <c r="BU11" s="210" t="s">
        <v>308</v>
      </c>
      <c r="BV11" s="214"/>
      <c r="BW11" s="214" t="s">
        <v>309</v>
      </c>
      <c r="BX11" s="210" t="s">
        <v>308</v>
      </c>
      <c r="BY11" s="214"/>
      <c r="BZ11" s="214" t="s">
        <v>309</v>
      </c>
      <c r="CA11" s="210" t="s">
        <v>308</v>
      </c>
      <c r="CB11" s="214"/>
      <c r="CC11" s="214" t="s">
        <v>309</v>
      </c>
      <c r="CD11" s="213" t="s">
        <v>308</v>
      </c>
      <c r="CE11" s="214">
        <v>18624</v>
      </c>
      <c r="CF11" s="214" t="s">
        <v>309</v>
      </c>
      <c r="CG11" s="210" t="s">
        <v>308</v>
      </c>
      <c r="CH11" s="214">
        <v>6630</v>
      </c>
      <c r="CI11" s="214" t="s">
        <v>309</v>
      </c>
      <c r="CJ11" s="210" t="s">
        <v>308</v>
      </c>
      <c r="CK11" s="214">
        <v>6</v>
      </c>
      <c r="CL11" s="214" t="s">
        <v>309</v>
      </c>
      <c r="CM11" s="210" t="s">
        <v>308</v>
      </c>
      <c r="CN11" s="214">
        <v>6636</v>
      </c>
      <c r="CO11" s="214" t="s">
        <v>309</v>
      </c>
      <c r="CP11" s="210" t="s">
        <v>308</v>
      </c>
      <c r="CQ11" s="214">
        <v>11988</v>
      </c>
      <c r="CR11" s="215" t="s">
        <v>309</v>
      </c>
      <c r="CS11" s="209"/>
      <c r="CT11" s="213" t="s">
        <v>308</v>
      </c>
      <c r="CU11" s="214">
        <v>723</v>
      </c>
      <c r="CV11" s="214" t="s">
        <v>309</v>
      </c>
      <c r="CW11" s="210" t="s">
        <v>308</v>
      </c>
      <c r="CX11" s="214">
        <v>286</v>
      </c>
      <c r="CY11" s="214" t="s">
        <v>309</v>
      </c>
      <c r="CZ11" s="210" t="s">
        <v>308</v>
      </c>
      <c r="DA11" s="214"/>
      <c r="DB11" s="214" t="s">
        <v>309</v>
      </c>
      <c r="DC11" s="210" t="s">
        <v>308</v>
      </c>
      <c r="DD11" s="214">
        <v>286</v>
      </c>
      <c r="DE11" s="214" t="s">
        <v>309</v>
      </c>
      <c r="DF11" s="210" t="s">
        <v>308</v>
      </c>
      <c r="DG11" s="214">
        <v>437</v>
      </c>
      <c r="DH11" s="215" t="s">
        <v>309</v>
      </c>
      <c r="DI11" s="642" t="s">
        <v>310</v>
      </c>
      <c r="DJ11" s="199"/>
    </row>
    <row r="12" spans="1:114" s="197" customFormat="1" ht="15.75" customHeight="1" thickBot="1">
      <c r="A12" s="623"/>
      <c r="B12" s="624"/>
      <c r="C12" s="216"/>
      <c r="D12" s="217">
        <v>257</v>
      </c>
      <c r="E12" s="217"/>
      <c r="F12" s="218"/>
      <c r="G12" s="217"/>
      <c r="H12" s="217"/>
      <c r="I12" s="218"/>
      <c r="J12" s="217"/>
      <c r="K12" s="217"/>
      <c r="L12" s="218"/>
      <c r="M12" s="217"/>
      <c r="N12" s="217"/>
      <c r="O12" s="218"/>
      <c r="P12" s="217">
        <v>257</v>
      </c>
      <c r="Q12" s="217"/>
      <c r="R12" s="216"/>
      <c r="S12" s="217">
        <v>47</v>
      </c>
      <c r="T12" s="217"/>
      <c r="U12" s="218"/>
      <c r="V12" s="217"/>
      <c r="W12" s="217"/>
      <c r="X12" s="218"/>
      <c r="Y12" s="217">
        <v>1</v>
      </c>
      <c r="Z12" s="217"/>
      <c r="AA12" s="218"/>
      <c r="AB12" s="217">
        <v>1</v>
      </c>
      <c r="AC12" s="217"/>
      <c r="AD12" s="218"/>
      <c r="AE12" s="217">
        <v>46</v>
      </c>
      <c r="AF12" s="219"/>
      <c r="AG12" s="209"/>
      <c r="AH12" s="216"/>
      <c r="AI12" s="217">
        <v>2549</v>
      </c>
      <c r="AJ12" s="217"/>
      <c r="AK12" s="218"/>
      <c r="AL12" s="217">
        <v>189</v>
      </c>
      <c r="AM12" s="217"/>
      <c r="AN12" s="218"/>
      <c r="AO12" s="217">
        <v>1</v>
      </c>
      <c r="AP12" s="217"/>
      <c r="AQ12" s="218"/>
      <c r="AR12" s="217">
        <v>190</v>
      </c>
      <c r="AS12" s="217"/>
      <c r="AT12" s="218"/>
      <c r="AU12" s="217">
        <v>2359</v>
      </c>
      <c r="AV12" s="219"/>
      <c r="AW12" s="217"/>
      <c r="AX12" s="217">
        <v>325</v>
      </c>
      <c r="AY12" s="217"/>
      <c r="AZ12" s="218"/>
      <c r="BA12" s="217">
        <v>298</v>
      </c>
      <c r="BB12" s="217"/>
      <c r="BC12" s="218"/>
      <c r="BD12" s="217"/>
      <c r="BE12" s="217"/>
      <c r="BF12" s="218"/>
      <c r="BG12" s="217">
        <v>298</v>
      </c>
      <c r="BH12" s="217"/>
      <c r="BI12" s="218"/>
      <c r="BJ12" s="217">
        <v>27</v>
      </c>
      <c r="BK12" s="219"/>
      <c r="BL12" s="643"/>
      <c r="BM12" s="623"/>
      <c r="BN12" s="624"/>
      <c r="BO12" s="216"/>
      <c r="BP12" s="217">
        <v>27</v>
      </c>
      <c r="BQ12" s="217"/>
      <c r="BR12" s="218"/>
      <c r="BS12" s="217">
        <v>11</v>
      </c>
      <c r="BT12" s="217"/>
      <c r="BU12" s="218"/>
      <c r="BV12" s="217"/>
      <c r="BW12" s="217"/>
      <c r="BX12" s="218"/>
      <c r="BY12" s="217">
        <v>11</v>
      </c>
      <c r="BZ12" s="217"/>
      <c r="CA12" s="218"/>
      <c r="CB12" s="217">
        <v>16</v>
      </c>
      <c r="CC12" s="217"/>
      <c r="CD12" s="216"/>
      <c r="CE12" s="217">
        <v>983</v>
      </c>
      <c r="CF12" s="217"/>
      <c r="CG12" s="218"/>
      <c r="CH12" s="217">
        <v>542</v>
      </c>
      <c r="CI12" s="217"/>
      <c r="CJ12" s="218"/>
      <c r="CK12" s="217"/>
      <c r="CL12" s="217"/>
      <c r="CM12" s="218"/>
      <c r="CN12" s="217">
        <v>542</v>
      </c>
      <c r="CO12" s="217"/>
      <c r="CP12" s="218"/>
      <c r="CQ12" s="217">
        <v>441</v>
      </c>
      <c r="CR12" s="219"/>
      <c r="CS12" s="209"/>
      <c r="CT12" s="216"/>
      <c r="CU12" s="217">
        <v>837</v>
      </c>
      <c r="CV12" s="217"/>
      <c r="CW12" s="218"/>
      <c r="CX12" s="217">
        <v>829</v>
      </c>
      <c r="CY12" s="217"/>
      <c r="CZ12" s="218"/>
      <c r="DA12" s="217"/>
      <c r="DB12" s="217"/>
      <c r="DC12" s="218"/>
      <c r="DD12" s="217">
        <v>829</v>
      </c>
      <c r="DE12" s="217"/>
      <c r="DF12" s="218"/>
      <c r="DG12" s="217">
        <v>9</v>
      </c>
      <c r="DH12" s="219"/>
      <c r="DI12" s="643"/>
      <c r="DJ12" s="199"/>
    </row>
    <row r="13" spans="1:114" s="245" customFormat="1" ht="15.75" customHeight="1">
      <c r="A13" s="625" t="s">
        <v>278</v>
      </c>
      <c r="B13" s="626"/>
      <c r="C13" s="220" t="s">
        <v>145</v>
      </c>
      <c r="D13" s="220">
        <f>M13+P13</f>
        <v>0</v>
      </c>
      <c r="E13" s="220" t="s">
        <v>146</v>
      </c>
      <c r="F13" s="221" t="s">
        <v>145</v>
      </c>
      <c r="G13" s="220">
        <f>G15+G29+G47+その４!G31</f>
        <v>0</v>
      </c>
      <c r="H13" s="220" t="s">
        <v>146</v>
      </c>
      <c r="I13" s="221" t="s">
        <v>145</v>
      </c>
      <c r="J13" s="220">
        <f>J15+J29+J47+その４!J31</f>
        <v>0</v>
      </c>
      <c r="K13" s="220" t="s">
        <v>146</v>
      </c>
      <c r="L13" s="221" t="s">
        <v>145</v>
      </c>
      <c r="M13" s="220">
        <f>G13+J13</f>
        <v>0</v>
      </c>
      <c r="N13" s="220" t="s">
        <v>146</v>
      </c>
      <c r="O13" s="221" t="s">
        <v>145</v>
      </c>
      <c r="P13" s="220">
        <f>P15+P29+P47+その４!P31</f>
        <v>0</v>
      </c>
      <c r="Q13" s="220" t="s">
        <v>146</v>
      </c>
      <c r="R13" s="227" t="s">
        <v>145</v>
      </c>
      <c r="S13" s="220">
        <f>AB13+AE13</f>
        <v>0</v>
      </c>
      <c r="T13" s="220" t="s">
        <v>146</v>
      </c>
      <c r="U13" s="221" t="s">
        <v>145</v>
      </c>
      <c r="V13" s="220">
        <f>V15+V29+V47+その４!V31</f>
        <v>0</v>
      </c>
      <c r="W13" s="220" t="s">
        <v>146</v>
      </c>
      <c r="X13" s="221" t="s">
        <v>145</v>
      </c>
      <c r="Y13" s="220">
        <f>Y15+Y29+Y47+その４!Y31</f>
        <v>0</v>
      </c>
      <c r="Z13" s="220" t="s">
        <v>146</v>
      </c>
      <c r="AA13" s="221" t="s">
        <v>145</v>
      </c>
      <c r="AB13" s="220">
        <f>V13+Y13</f>
        <v>0</v>
      </c>
      <c r="AC13" s="220" t="s">
        <v>146</v>
      </c>
      <c r="AD13" s="221" t="s">
        <v>145</v>
      </c>
      <c r="AE13" s="220">
        <f>AE15+AE29+AE47+その４!AE31</f>
        <v>0</v>
      </c>
      <c r="AF13" s="226" t="s">
        <v>146</v>
      </c>
      <c r="AG13" s="220"/>
      <c r="AH13" s="225" t="s">
        <v>145</v>
      </c>
      <c r="AI13" s="220"/>
      <c r="AJ13" s="220" t="s">
        <v>146</v>
      </c>
      <c r="AK13" s="221" t="s">
        <v>145</v>
      </c>
      <c r="AL13" s="220">
        <f>AL15+AL29+AL47+その４!AM31</f>
        <v>0</v>
      </c>
      <c r="AM13" s="220" t="s">
        <v>146</v>
      </c>
      <c r="AN13" s="221" t="s">
        <v>145</v>
      </c>
      <c r="AO13" s="220">
        <f>AO15+AO29+AO47+その４!AP31</f>
        <v>0</v>
      </c>
      <c r="AP13" s="220" t="s">
        <v>146</v>
      </c>
      <c r="AQ13" s="221" t="s">
        <v>145</v>
      </c>
      <c r="AR13" s="220">
        <f aca="true" t="shared" si="0" ref="AR13:AR44">AL13+AO13</f>
        <v>0</v>
      </c>
      <c r="AS13" s="220" t="s">
        <v>146</v>
      </c>
      <c r="AT13" s="221" t="s">
        <v>145</v>
      </c>
      <c r="AU13" s="220">
        <f>AU15+AU29+AU47+その４!AV31</f>
        <v>0</v>
      </c>
      <c r="AV13" s="226" t="s">
        <v>146</v>
      </c>
      <c r="AW13" s="227" t="s">
        <v>145</v>
      </c>
      <c r="AX13" s="220">
        <f>BG13+BJ13</f>
        <v>0</v>
      </c>
      <c r="AY13" s="220" t="s">
        <v>146</v>
      </c>
      <c r="AZ13" s="221" t="s">
        <v>145</v>
      </c>
      <c r="BA13" s="220">
        <f>BA15+BA29+BA47+その４!BB31</f>
        <v>0</v>
      </c>
      <c r="BB13" s="220" t="s">
        <v>146</v>
      </c>
      <c r="BC13" s="221" t="s">
        <v>145</v>
      </c>
      <c r="BD13" s="220">
        <f>BD15+BD29+BD47+その４!BE31</f>
        <v>0</v>
      </c>
      <c r="BE13" s="220" t="s">
        <v>146</v>
      </c>
      <c r="BF13" s="221" t="s">
        <v>145</v>
      </c>
      <c r="BG13" s="220">
        <f>BA13+BD13</f>
        <v>0</v>
      </c>
      <c r="BH13" s="220" t="s">
        <v>146</v>
      </c>
      <c r="BI13" s="221" t="s">
        <v>145</v>
      </c>
      <c r="BJ13" s="220">
        <f>BJ15+BJ29+BJ47+その４!BK31</f>
        <v>0</v>
      </c>
      <c r="BK13" s="226" t="s">
        <v>146</v>
      </c>
      <c r="BL13" s="607" t="s">
        <v>311</v>
      </c>
      <c r="BM13" s="625" t="s">
        <v>122</v>
      </c>
      <c r="BN13" s="626"/>
      <c r="BO13" s="220" t="s">
        <v>145</v>
      </c>
      <c r="BP13" s="220">
        <f>BY13+CB13</f>
        <v>0</v>
      </c>
      <c r="BQ13" s="220" t="s">
        <v>146</v>
      </c>
      <c r="BR13" s="221" t="s">
        <v>145</v>
      </c>
      <c r="BS13" s="220">
        <f>BS15+BS29+BS47+その４!BT31</f>
        <v>0</v>
      </c>
      <c r="BT13" s="220" t="s">
        <v>146</v>
      </c>
      <c r="BU13" s="221" t="s">
        <v>145</v>
      </c>
      <c r="BV13" s="220">
        <f>BV15+BV29+BV47+その４!BW31</f>
        <v>0</v>
      </c>
      <c r="BW13" s="220" t="s">
        <v>146</v>
      </c>
      <c r="BX13" s="221" t="s">
        <v>145</v>
      </c>
      <c r="BY13" s="220">
        <f>BS13+BV13</f>
        <v>0</v>
      </c>
      <c r="BZ13" s="220" t="s">
        <v>146</v>
      </c>
      <c r="CA13" s="221" t="s">
        <v>145</v>
      </c>
      <c r="CB13" s="220">
        <f>CB15+CB29+CB47+その４!CC31</f>
        <v>0</v>
      </c>
      <c r="CC13" s="220" t="s">
        <v>146</v>
      </c>
      <c r="CD13" s="227" t="s">
        <v>145</v>
      </c>
      <c r="CE13" s="220">
        <f>CN13+CQ13</f>
        <v>18632.964238999997</v>
      </c>
      <c r="CF13" s="220" t="s">
        <v>146</v>
      </c>
      <c r="CG13" s="221" t="s">
        <v>145</v>
      </c>
      <c r="CH13" s="220">
        <f>CH15+CH29+CH47+その４!CI31</f>
        <v>6632.041599999999</v>
      </c>
      <c r="CI13" s="220" t="s">
        <v>146</v>
      </c>
      <c r="CJ13" s="221" t="s">
        <v>145</v>
      </c>
      <c r="CK13" s="220">
        <f>CK15+CK29+CK47+その４!CL31</f>
        <v>6.216939</v>
      </c>
      <c r="CL13" s="220" t="s">
        <v>146</v>
      </c>
      <c r="CM13" s="221" t="s">
        <v>145</v>
      </c>
      <c r="CN13" s="220">
        <f>CH13+CK13</f>
        <v>6638.258538999999</v>
      </c>
      <c r="CO13" s="220" t="s">
        <v>146</v>
      </c>
      <c r="CP13" s="221" t="s">
        <v>145</v>
      </c>
      <c r="CQ13" s="220">
        <f>CQ15+CQ29+CQ47+その４!CR31</f>
        <v>11994.705699999999</v>
      </c>
      <c r="CR13" s="226" t="s">
        <v>146</v>
      </c>
      <c r="CS13" s="220"/>
      <c r="CT13" s="225" t="s">
        <v>145</v>
      </c>
      <c r="CU13" s="220">
        <f>DD13+DG13</f>
        <v>722.8685</v>
      </c>
      <c r="CV13" s="220" t="s">
        <v>146</v>
      </c>
      <c r="CW13" s="221" t="s">
        <v>145</v>
      </c>
      <c r="CX13" s="220">
        <f>CX15+CX29+CX47+その４!CY31</f>
        <v>286.18870000000004</v>
      </c>
      <c r="CY13" s="220" t="s">
        <v>146</v>
      </c>
      <c r="CZ13" s="221" t="s">
        <v>145</v>
      </c>
      <c r="DA13" s="220">
        <f>DA15+DA29+DA47+その４!DB31</f>
        <v>0</v>
      </c>
      <c r="DB13" s="220" t="s">
        <v>146</v>
      </c>
      <c r="DC13" s="221" t="s">
        <v>145</v>
      </c>
      <c r="DD13" s="220">
        <f>CX13+DA13</f>
        <v>286.18870000000004</v>
      </c>
      <c r="DE13" s="220" t="s">
        <v>146</v>
      </c>
      <c r="DF13" s="221" t="s">
        <v>145</v>
      </c>
      <c r="DG13" s="220">
        <f>DG15+DG29+DG47+その４!DH31</f>
        <v>436.6798</v>
      </c>
      <c r="DH13" s="226" t="s">
        <v>146</v>
      </c>
      <c r="DI13" s="607" t="s">
        <v>311</v>
      </c>
      <c r="DJ13" s="228"/>
    </row>
    <row r="14" spans="1:114" s="245" customFormat="1" ht="15.75" customHeight="1" thickBot="1">
      <c r="A14" s="625"/>
      <c r="B14" s="626"/>
      <c r="C14" s="220"/>
      <c r="D14" s="220">
        <f>M14+P14</f>
        <v>257.729016</v>
      </c>
      <c r="E14" s="220"/>
      <c r="F14" s="221"/>
      <c r="G14" s="220">
        <f>G16+G30+G48+その４!G32</f>
        <v>0</v>
      </c>
      <c r="H14" s="220"/>
      <c r="I14" s="221"/>
      <c r="J14" s="220">
        <f>J16+J30+J48+その４!J32</f>
        <v>0.9811159999999999</v>
      </c>
      <c r="K14" s="220"/>
      <c r="L14" s="221"/>
      <c r="M14" s="220">
        <f>G14+J14</f>
        <v>0.9811159999999999</v>
      </c>
      <c r="N14" s="220"/>
      <c r="O14" s="221"/>
      <c r="P14" s="220">
        <f>P16+P30+P48+その４!P32</f>
        <v>256.7479</v>
      </c>
      <c r="Q14" s="220"/>
      <c r="R14" s="425"/>
      <c r="S14" s="220">
        <f>AB14+AE14</f>
        <v>47.875564999999995</v>
      </c>
      <c r="T14" s="220"/>
      <c r="U14" s="221"/>
      <c r="V14" s="299">
        <f>V16+V30+V48+その４!V32</f>
        <v>0.5643</v>
      </c>
      <c r="W14" s="220"/>
      <c r="X14" s="221"/>
      <c r="Y14" s="220">
        <f>Y16+Y30+Y48+その４!Y32+1</f>
        <v>3.459465</v>
      </c>
      <c r="Z14" s="220"/>
      <c r="AA14" s="221"/>
      <c r="AB14" s="220">
        <f>V14+Y14</f>
        <v>4.023765</v>
      </c>
      <c r="AC14" s="220"/>
      <c r="AD14" s="221"/>
      <c r="AE14" s="220">
        <f>AE16+AE30+AE48+その４!AE32</f>
        <v>43.8518</v>
      </c>
      <c r="AF14" s="226"/>
      <c r="AG14" s="220"/>
      <c r="AH14" s="225"/>
      <c r="AI14" s="220">
        <f>AR14+AU14</f>
        <v>2577.790355</v>
      </c>
      <c r="AJ14" s="220"/>
      <c r="AK14" s="221"/>
      <c r="AL14" s="220">
        <f>AL16+AL30+AL48+その４!AM32</f>
        <v>188.54199999999997</v>
      </c>
      <c r="AM14" s="220"/>
      <c r="AN14" s="221"/>
      <c r="AO14" s="220">
        <f>AO16+AO30+AO48+その４!AP32</f>
        <v>7.437555</v>
      </c>
      <c r="AP14" s="220"/>
      <c r="AQ14" s="221"/>
      <c r="AR14" s="220">
        <f t="shared" si="0"/>
        <v>195.97955499999998</v>
      </c>
      <c r="AS14" s="220"/>
      <c r="AT14" s="221"/>
      <c r="AU14" s="220">
        <f>AU16+AU30+AU48+その４!AV32</f>
        <v>2381.8108</v>
      </c>
      <c r="AV14" s="226"/>
      <c r="AW14" s="425"/>
      <c r="AX14" s="220">
        <f>BG14+BJ14</f>
        <v>325.1784</v>
      </c>
      <c r="AY14" s="220"/>
      <c r="AZ14" s="221"/>
      <c r="BA14" s="220">
        <f>BA16+BA30+BA48+その４!BB32</f>
        <v>297.8146</v>
      </c>
      <c r="BB14" s="220"/>
      <c r="BC14" s="221"/>
      <c r="BD14" s="220">
        <f>BD16+BD30+BD48+その４!BE32</f>
        <v>0</v>
      </c>
      <c r="BE14" s="220"/>
      <c r="BF14" s="221"/>
      <c r="BG14" s="220">
        <f>BA14+BD14</f>
        <v>297.8146</v>
      </c>
      <c r="BH14" s="220"/>
      <c r="BI14" s="221"/>
      <c r="BJ14" s="220">
        <f>BJ16+BJ30+BJ48+その４!BK32</f>
        <v>27.363799999999998</v>
      </c>
      <c r="BK14" s="226"/>
      <c r="BL14" s="608"/>
      <c r="BM14" s="625"/>
      <c r="BN14" s="626"/>
      <c r="BO14" s="220"/>
      <c r="BP14" s="220">
        <f>BY14+CB14-1</f>
        <v>37.2044</v>
      </c>
      <c r="BQ14" s="220"/>
      <c r="BR14" s="221"/>
      <c r="BS14" s="220">
        <f>BS16+BS30+BS48+その４!BT32</f>
        <v>11.170499999999999</v>
      </c>
      <c r="BT14" s="220"/>
      <c r="BU14" s="221"/>
      <c r="BV14" s="220">
        <f>BV16+BV30+BV48+その４!BW32</f>
        <v>0</v>
      </c>
      <c r="BW14" s="220"/>
      <c r="BX14" s="221"/>
      <c r="BY14" s="220">
        <f>BS14+BV14</f>
        <v>11.170499999999999</v>
      </c>
      <c r="BZ14" s="220"/>
      <c r="CA14" s="221"/>
      <c r="CB14" s="220">
        <f>CB16+CB30+CB48+その４!CC32+1</f>
        <v>27.033900000000003</v>
      </c>
      <c r="CC14" s="220"/>
      <c r="CD14" s="425"/>
      <c r="CE14" s="220">
        <f>CN14+CQ14</f>
        <v>983.2558999999999</v>
      </c>
      <c r="CF14" s="220"/>
      <c r="CG14" s="221"/>
      <c r="CH14" s="220">
        <f>CH16+CH30+CH48+その４!CI32</f>
        <v>542.1346</v>
      </c>
      <c r="CI14" s="220"/>
      <c r="CJ14" s="221"/>
      <c r="CK14" s="220">
        <f>CK16+CK30+CK48+その４!CL32</f>
        <v>0</v>
      </c>
      <c r="CL14" s="220"/>
      <c r="CM14" s="221"/>
      <c r="CN14" s="220">
        <f>CH14+CK14</f>
        <v>542.1346</v>
      </c>
      <c r="CO14" s="220"/>
      <c r="CP14" s="221"/>
      <c r="CQ14" s="220">
        <f>CQ16+CQ30+CQ48+その４!CR32</f>
        <v>441.12129999999996</v>
      </c>
      <c r="CR14" s="226"/>
      <c r="CS14" s="220"/>
      <c r="CT14" s="225"/>
      <c r="CU14" s="220">
        <f>DD14+DG14</f>
        <v>838.5930999999999</v>
      </c>
      <c r="CV14" s="220"/>
      <c r="CW14" s="221"/>
      <c r="CX14" s="220">
        <f>CX16+CX30+CX48+その４!CY32</f>
        <v>828.5097</v>
      </c>
      <c r="CY14" s="220"/>
      <c r="CZ14" s="221"/>
      <c r="DA14" s="220">
        <f>DA16+DA30+DA48+その４!DB32</f>
        <v>1.3071</v>
      </c>
      <c r="DB14" s="220"/>
      <c r="DC14" s="221"/>
      <c r="DD14" s="220">
        <f>CX14+DA14</f>
        <v>829.8168</v>
      </c>
      <c r="DE14" s="220"/>
      <c r="DF14" s="221"/>
      <c r="DG14" s="220">
        <f>DG16+DG30+DG48+その４!DH32</f>
        <v>8.776299999999999</v>
      </c>
      <c r="DH14" s="226"/>
      <c r="DI14" s="608"/>
      <c r="DJ14" s="228"/>
    </row>
    <row r="15" spans="1:114" s="245" customFormat="1" ht="15.75" customHeight="1">
      <c r="A15" s="569" t="s">
        <v>148</v>
      </c>
      <c r="B15" s="581"/>
      <c r="C15" s="227" t="s">
        <v>312</v>
      </c>
      <c r="D15" s="230">
        <f>D17</f>
        <v>0</v>
      </c>
      <c r="E15" s="230" t="s">
        <v>313</v>
      </c>
      <c r="F15" s="232" t="s">
        <v>312</v>
      </c>
      <c r="G15" s="230">
        <f>G17</f>
        <v>0</v>
      </c>
      <c r="H15" s="231" t="s">
        <v>313</v>
      </c>
      <c r="I15" s="230" t="s">
        <v>312</v>
      </c>
      <c r="J15" s="230">
        <f>J17</f>
        <v>0</v>
      </c>
      <c r="K15" s="230" t="s">
        <v>313</v>
      </c>
      <c r="L15" s="232" t="s">
        <v>312</v>
      </c>
      <c r="M15" s="230">
        <f>M17</f>
        <v>0</v>
      </c>
      <c r="N15" s="230" t="s">
        <v>313</v>
      </c>
      <c r="O15" s="233" t="s">
        <v>312</v>
      </c>
      <c r="P15" s="230">
        <f>P17</f>
        <v>0</v>
      </c>
      <c r="Q15" s="426" t="s">
        <v>313</v>
      </c>
      <c r="R15" s="227" t="s">
        <v>312</v>
      </c>
      <c r="S15" s="230"/>
      <c r="T15" s="230" t="s">
        <v>313</v>
      </c>
      <c r="U15" s="232" t="s">
        <v>312</v>
      </c>
      <c r="V15" s="230"/>
      <c r="W15" s="231" t="s">
        <v>313</v>
      </c>
      <c r="X15" s="230" t="s">
        <v>312</v>
      </c>
      <c r="Y15" s="230"/>
      <c r="Z15" s="230" t="s">
        <v>313</v>
      </c>
      <c r="AA15" s="232" t="s">
        <v>312</v>
      </c>
      <c r="AB15" s="230"/>
      <c r="AC15" s="230" t="s">
        <v>313</v>
      </c>
      <c r="AD15" s="233" t="s">
        <v>312</v>
      </c>
      <c r="AE15" s="230"/>
      <c r="AF15" s="234" t="s">
        <v>313</v>
      </c>
      <c r="AG15" s="224"/>
      <c r="AH15" s="227" t="s">
        <v>312</v>
      </c>
      <c r="AI15" s="230"/>
      <c r="AJ15" s="230" t="s">
        <v>313</v>
      </c>
      <c r="AK15" s="232" t="s">
        <v>312</v>
      </c>
      <c r="AL15" s="230"/>
      <c r="AM15" s="231" t="s">
        <v>313</v>
      </c>
      <c r="AN15" s="230" t="s">
        <v>312</v>
      </c>
      <c r="AO15" s="230"/>
      <c r="AP15" s="230" t="s">
        <v>313</v>
      </c>
      <c r="AQ15" s="232" t="s">
        <v>312</v>
      </c>
      <c r="AR15" s="230">
        <f t="shared" si="0"/>
        <v>0</v>
      </c>
      <c r="AS15" s="230" t="s">
        <v>313</v>
      </c>
      <c r="AT15" s="233" t="s">
        <v>312</v>
      </c>
      <c r="AU15" s="230"/>
      <c r="AV15" s="234" t="s">
        <v>313</v>
      </c>
      <c r="AW15" s="227" t="s">
        <v>312</v>
      </c>
      <c r="AX15" s="230"/>
      <c r="AY15" s="230" t="s">
        <v>313</v>
      </c>
      <c r="AZ15" s="232" t="s">
        <v>312</v>
      </c>
      <c r="BA15" s="230"/>
      <c r="BB15" s="231" t="s">
        <v>313</v>
      </c>
      <c r="BC15" s="230" t="s">
        <v>312</v>
      </c>
      <c r="BD15" s="230"/>
      <c r="BE15" s="230" t="s">
        <v>313</v>
      </c>
      <c r="BF15" s="232" t="s">
        <v>312</v>
      </c>
      <c r="BG15" s="230"/>
      <c r="BH15" s="230" t="s">
        <v>313</v>
      </c>
      <c r="BI15" s="233" t="s">
        <v>312</v>
      </c>
      <c r="BJ15" s="230"/>
      <c r="BK15" s="426" t="s">
        <v>313</v>
      </c>
      <c r="BL15" s="235"/>
      <c r="BM15" s="569" t="s">
        <v>148</v>
      </c>
      <c r="BN15" s="581"/>
      <c r="BO15" s="227" t="s">
        <v>312</v>
      </c>
      <c r="BP15" s="230"/>
      <c r="BQ15" s="230" t="s">
        <v>313</v>
      </c>
      <c r="BR15" s="232" t="s">
        <v>312</v>
      </c>
      <c r="BS15" s="230"/>
      <c r="BT15" s="231" t="s">
        <v>313</v>
      </c>
      <c r="BU15" s="230" t="s">
        <v>312</v>
      </c>
      <c r="BV15" s="230"/>
      <c r="BW15" s="230" t="s">
        <v>313</v>
      </c>
      <c r="BX15" s="232" t="s">
        <v>312</v>
      </c>
      <c r="BY15" s="230"/>
      <c r="BZ15" s="230" t="s">
        <v>313</v>
      </c>
      <c r="CA15" s="233" t="s">
        <v>312</v>
      </c>
      <c r="CB15" s="230"/>
      <c r="CC15" s="426" t="s">
        <v>313</v>
      </c>
      <c r="CD15" s="227" t="s">
        <v>312</v>
      </c>
      <c r="CE15" s="230">
        <f>CE17</f>
        <v>9167.7164</v>
      </c>
      <c r="CF15" s="230" t="s">
        <v>313</v>
      </c>
      <c r="CG15" s="232" t="s">
        <v>312</v>
      </c>
      <c r="CH15" s="230">
        <f>CH17</f>
        <v>3090.4476999999997</v>
      </c>
      <c r="CI15" s="231" t="s">
        <v>313</v>
      </c>
      <c r="CJ15" s="230" t="s">
        <v>312</v>
      </c>
      <c r="CK15" s="230">
        <f>CK17</f>
        <v>5.2233</v>
      </c>
      <c r="CL15" s="230" t="s">
        <v>313</v>
      </c>
      <c r="CM15" s="232" t="s">
        <v>312</v>
      </c>
      <c r="CN15" s="230">
        <f>CN17</f>
        <v>3095.671</v>
      </c>
      <c r="CO15" s="230" t="s">
        <v>313</v>
      </c>
      <c r="CP15" s="233" t="s">
        <v>312</v>
      </c>
      <c r="CQ15" s="230">
        <f>CQ17</f>
        <v>6072.0454</v>
      </c>
      <c r="CR15" s="234" t="s">
        <v>313</v>
      </c>
      <c r="CS15" s="224"/>
      <c r="CT15" s="227" t="s">
        <v>312</v>
      </c>
      <c r="CU15" s="230"/>
      <c r="CV15" s="230" t="s">
        <v>313</v>
      </c>
      <c r="CW15" s="232" t="s">
        <v>312</v>
      </c>
      <c r="CX15" s="230"/>
      <c r="CY15" s="231" t="s">
        <v>313</v>
      </c>
      <c r="CZ15" s="230" t="s">
        <v>312</v>
      </c>
      <c r="DA15" s="230"/>
      <c r="DB15" s="230" t="s">
        <v>313</v>
      </c>
      <c r="DC15" s="232" t="s">
        <v>312</v>
      </c>
      <c r="DD15" s="230"/>
      <c r="DE15" s="230" t="s">
        <v>313</v>
      </c>
      <c r="DF15" s="233" t="s">
        <v>312</v>
      </c>
      <c r="DG15" s="230"/>
      <c r="DH15" s="234" t="s">
        <v>313</v>
      </c>
      <c r="DI15" s="300"/>
      <c r="DJ15" s="228"/>
    </row>
    <row r="16" spans="1:114" s="245" customFormat="1" ht="15.75" customHeight="1" thickBot="1">
      <c r="A16" s="582"/>
      <c r="B16" s="583"/>
      <c r="C16" s="225"/>
      <c r="D16" s="237">
        <f>D18</f>
        <v>41.805699999999995</v>
      </c>
      <c r="E16" s="220"/>
      <c r="F16" s="221"/>
      <c r="G16" s="237">
        <f>G18</f>
        <v>0</v>
      </c>
      <c r="H16" s="222"/>
      <c r="I16" s="220"/>
      <c r="J16" s="237">
        <f>J18</f>
        <v>0</v>
      </c>
      <c r="K16" s="220"/>
      <c r="L16" s="221"/>
      <c r="M16" s="237">
        <f>M18</f>
        <v>0</v>
      </c>
      <c r="N16" s="220"/>
      <c r="O16" s="223"/>
      <c r="P16" s="237">
        <f>P18</f>
        <v>41.805699999999995</v>
      </c>
      <c r="Q16" s="224"/>
      <c r="R16" s="225"/>
      <c r="S16" s="237">
        <f>S18</f>
        <v>11.8846</v>
      </c>
      <c r="T16" s="220"/>
      <c r="U16" s="221"/>
      <c r="V16" s="299">
        <f>V18</f>
        <v>0.5643</v>
      </c>
      <c r="W16" s="222"/>
      <c r="X16" s="220"/>
      <c r="Y16" s="299">
        <f>Y18</f>
        <v>0.041400000000000006</v>
      </c>
      <c r="Z16" s="220"/>
      <c r="AA16" s="221"/>
      <c r="AB16" s="237"/>
      <c r="AC16" s="220"/>
      <c r="AD16" s="223"/>
      <c r="AE16" s="220">
        <f>AE18</f>
        <v>11.2789</v>
      </c>
      <c r="AF16" s="242"/>
      <c r="AG16" s="224"/>
      <c r="AH16" s="225"/>
      <c r="AI16" s="237">
        <f>AI18</f>
        <v>235.9821</v>
      </c>
      <c r="AJ16" s="220"/>
      <c r="AK16" s="221"/>
      <c r="AL16" s="220">
        <v>110.0796</v>
      </c>
      <c r="AM16" s="222"/>
      <c r="AN16" s="220"/>
      <c r="AO16" s="220"/>
      <c r="AP16" s="220"/>
      <c r="AQ16" s="221"/>
      <c r="AR16" s="237">
        <f t="shared" si="0"/>
        <v>110.0796</v>
      </c>
      <c r="AS16" s="220"/>
      <c r="AT16" s="223"/>
      <c r="AU16" s="220">
        <f>AU18</f>
        <v>125.5541</v>
      </c>
      <c r="AV16" s="242"/>
      <c r="AW16" s="225"/>
      <c r="AX16" s="237">
        <f>AX18</f>
        <v>325.1784</v>
      </c>
      <c r="AY16" s="220"/>
      <c r="AZ16" s="221"/>
      <c r="BA16" s="220">
        <v>297.8146</v>
      </c>
      <c r="BB16" s="222"/>
      <c r="BC16" s="220"/>
      <c r="BD16" s="220"/>
      <c r="BE16" s="220"/>
      <c r="BF16" s="221"/>
      <c r="BG16" s="237">
        <v>298</v>
      </c>
      <c r="BH16" s="220"/>
      <c r="BI16" s="223"/>
      <c r="BJ16" s="220">
        <f>BJ18</f>
        <v>27.363799999999998</v>
      </c>
      <c r="BK16" s="224"/>
      <c r="BL16" s="243"/>
      <c r="BM16" s="582"/>
      <c r="BN16" s="583"/>
      <c r="BO16" s="225"/>
      <c r="BP16" s="237">
        <f>BP18</f>
        <v>3.4772999999999996</v>
      </c>
      <c r="BQ16" s="220"/>
      <c r="BR16" s="221"/>
      <c r="BS16" s="220"/>
      <c r="BT16" s="222"/>
      <c r="BU16" s="220"/>
      <c r="BV16" s="220"/>
      <c r="BW16" s="220"/>
      <c r="BX16" s="221"/>
      <c r="BY16" s="237"/>
      <c r="BZ16" s="220"/>
      <c r="CA16" s="223"/>
      <c r="CB16" s="220">
        <f>CB18</f>
        <v>3.4772999999999996</v>
      </c>
      <c r="CC16" s="224"/>
      <c r="CD16" s="225"/>
      <c r="CE16" s="237">
        <f>CE18</f>
        <v>116.1144</v>
      </c>
      <c r="CF16" s="220"/>
      <c r="CG16" s="221"/>
      <c r="CH16" s="220">
        <f>CH18</f>
        <v>116.1144</v>
      </c>
      <c r="CI16" s="222"/>
      <c r="CJ16" s="220"/>
      <c r="CK16" s="220"/>
      <c r="CL16" s="220"/>
      <c r="CM16" s="221"/>
      <c r="CN16" s="237">
        <f>CN18</f>
        <v>116.1144</v>
      </c>
      <c r="CO16" s="220"/>
      <c r="CP16" s="223"/>
      <c r="CQ16" s="220">
        <f>CQ18</f>
        <v>0</v>
      </c>
      <c r="CR16" s="242"/>
      <c r="CS16" s="224"/>
      <c r="CT16" s="225"/>
      <c r="CU16" s="237"/>
      <c r="CV16" s="220"/>
      <c r="CW16" s="221"/>
      <c r="CX16" s="220"/>
      <c r="CY16" s="222"/>
      <c r="CZ16" s="220"/>
      <c r="DA16" s="220"/>
      <c r="DB16" s="220"/>
      <c r="DC16" s="221"/>
      <c r="DD16" s="237"/>
      <c r="DE16" s="220"/>
      <c r="DF16" s="223"/>
      <c r="DG16" s="220"/>
      <c r="DH16" s="242"/>
      <c r="DI16" s="301"/>
      <c r="DJ16" s="228"/>
    </row>
    <row r="17" spans="1:114" s="245" customFormat="1" ht="15.75" customHeight="1">
      <c r="A17" s="569"/>
      <c r="B17" s="568" t="s">
        <v>289</v>
      </c>
      <c r="C17" s="271" t="s">
        <v>145</v>
      </c>
      <c r="D17" s="220">
        <f aca="true" t="shared" si="1" ref="D17:D28">M17+P17</f>
        <v>0</v>
      </c>
      <c r="E17" s="230" t="s">
        <v>146</v>
      </c>
      <c r="F17" s="232" t="s">
        <v>145</v>
      </c>
      <c r="G17" s="230">
        <f>G19+G21+G23+G25+G27</f>
        <v>0</v>
      </c>
      <c r="H17" s="231" t="s">
        <v>146</v>
      </c>
      <c r="I17" s="230" t="s">
        <v>145</v>
      </c>
      <c r="J17" s="230">
        <f>J19+J21+J23+J25+J27</f>
        <v>0</v>
      </c>
      <c r="K17" s="230" t="s">
        <v>146</v>
      </c>
      <c r="L17" s="232" t="s">
        <v>145</v>
      </c>
      <c r="M17" s="220">
        <f aca="true" t="shared" si="2" ref="M17:M28">G17+J17</f>
        <v>0</v>
      </c>
      <c r="N17" s="230" t="s">
        <v>146</v>
      </c>
      <c r="O17" s="233" t="s">
        <v>145</v>
      </c>
      <c r="P17" s="230">
        <f>P19+P21+P23+P25+P27</f>
        <v>0</v>
      </c>
      <c r="Q17" s="426" t="s">
        <v>146</v>
      </c>
      <c r="R17" s="229" t="s">
        <v>145</v>
      </c>
      <c r="S17" s="220"/>
      <c r="T17" s="230" t="s">
        <v>146</v>
      </c>
      <c r="U17" s="232" t="s">
        <v>145</v>
      </c>
      <c r="V17" s="302">
        <f>V19+V21+V23+V25+V27</f>
        <v>0</v>
      </c>
      <c r="W17" s="231" t="s">
        <v>146</v>
      </c>
      <c r="X17" s="230" t="s">
        <v>145</v>
      </c>
      <c r="Y17" s="302">
        <f>Y19+Y21+Y23+Y25+Y27</f>
        <v>0</v>
      </c>
      <c r="Z17" s="230" t="s">
        <v>146</v>
      </c>
      <c r="AA17" s="232" t="s">
        <v>145</v>
      </c>
      <c r="AB17" s="220">
        <f aca="true" t="shared" si="3" ref="AB17:AB28">V17+Y17</f>
        <v>0</v>
      </c>
      <c r="AC17" s="230" t="s">
        <v>146</v>
      </c>
      <c r="AD17" s="233" t="s">
        <v>145</v>
      </c>
      <c r="AE17" s="302">
        <f>AE19+AE21+AE23+AE25+AE27</f>
        <v>0</v>
      </c>
      <c r="AF17" s="234" t="s">
        <v>146</v>
      </c>
      <c r="AG17" s="224"/>
      <c r="AH17" s="229" t="s">
        <v>145</v>
      </c>
      <c r="AI17" s="220"/>
      <c r="AJ17" s="230" t="s">
        <v>146</v>
      </c>
      <c r="AK17" s="232" t="s">
        <v>145</v>
      </c>
      <c r="AL17" s="230">
        <f>AL19+AL21+AL23+AL25+AL27</f>
        <v>0</v>
      </c>
      <c r="AM17" s="231" t="s">
        <v>146</v>
      </c>
      <c r="AN17" s="230" t="s">
        <v>145</v>
      </c>
      <c r="AO17" s="230">
        <f>AO19+AO21+AO23+AO25+AO27</f>
        <v>0</v>
      </c>
      <c r="AP17" s="230" t="s">
        <v>146</v>
      </c>
      <c r="AQ17" s="232" t="s">
        <v>145</v>
      </c>
      <c r="AR17" s="230">
        <f t="shared" si="0"/>
        <v>0</v>
      </c>
      <c r="AS17" s="230" t="s">
        <v>146</v>
      </c>
      <c r="AT17" s="233" t="s">
        <v>145</v>
      </c>
      <c r="AU17" s="230">
        <f>AU19+AU21+AU23+AU25+AU27</f>
        <v>0</v>
      </c>
      <c r="AV17" s="234" t="s">
        <v>146</v>
      </c>
      <c r="AW17" s="229" t="s">
        <v>145</v>
      </c>
      <c r="AX17" s="220">
        <f aca="true" t="shared" si="4" ref="AX17:AX28">BG17+BJ17</f>
        <v>0</v>
      </c>
      <c r="AY17" s="230" t="s">
        <v>146</v>
      </c>
      <c r="AZ17" s="232" t="s">
        <v>145</v>
      </c>
      <c r="BA17" s="230">
        <f>BA19+BA21+BA23+BA25+BA27</f>
        <v>0</v>
      </c>
      <c r="BB17" s="231" t="s">
        <v>146</v>
      </c>
      <c r="BC17" s="230" t="s">
        <v>145</v>
      </c>
      <c r="BD17" s="230">
        <f>BD19+BD21+BD23+BD25+BD27</f>
        <v>0</v>
      </c>
      <c r="BE17" s="230" t="s">
        <v>146</v>
      </c>
      <c r="BF17" s="232" t="s">
        <v>145</v>
      </c>
      <c r="BG17" s="220">
        <f aca="true" t="shared" si="5" ref="BG17:BG28">BA17+BD17</f>
        <v>0</v>
      </c>
      <c r="BH17" s="230" t="s">
        <v>146</v>
      </c>
      <c r="BI17" s="233" t="s">
        <v>145</v>
      </c>
      <c r="BJ17" s="230">
        <f>BJ19+BJ21+BJ23+BJ25+BJ27</f>
        <v>0</v>
      </c>
      <c r="BK17" s="426" t="s">
        <v>146</v>
      </c>
      <c r="BL17" s="300"/>
      <c r="BM17" s="569"/>
      <c r="BN17" s="568" t="s">
        <v>289</v>
      </c>
      <c r="BO17" s="271" t="s">
        <v>145</v>
      </c>
      <c r="BP17" s="220">
        <f aca="true" t="shared" si="6" ref="BP17:BP28">BY17+CB17</f>
        <v>0</v>
      </c>
      <c r="BQ17" s="230" t="s">
        <v>146</v>
      </c>
      <c r="BR17" s="232" t="s">
        <v>145</v>
      </c>
      <c r="BS17" s="230">
        <f>BS19+BS21+BS23+BS25+BS27</f>
        <v>0</v>
      </c>
      <c r="BT17" s="231" t="s">
        <v>146</v>
      </c>
      <c r="BU17" s="230" t="s">
        <v>145</v>
      </c>
      <c r="BV17" s="230">
        <f>BV19+BV21+BV23+BV25+BV27</f>
        <v>0</v>
      </c>
      <c r="BW17" s="230" t="s">
        <v>146</v>
      </c>
      <c r="BX17" s="232" t="s">
        <v>145</v>
      </c>
      <c r="BY17" s="220">
        <f aca="true" t="shared" si="7" ref="BY17:BY28">BS17+BV17</f>
        <v>0</v>
      </c>
      <c r="BZ17" s="230" t="s">
        <v>146</v>
      </c>
      <c r="CA17" s="233" t="s">
        <v>145</v>
      </c>
      <c r="CB17" s="230">
        <f>CB19+CB21+CB23+CB25+CB27</f>
        <v>0</v>
      </c>
      <c r="CC17" s="426" t="s">
        <v>146</v>
      </c>
      <c r="CD17" s="229" t="s">
        <v>145</v>
      </c>
      <c r="CE17" s="220">
        <f aca="true" t="shared" si="8" ref="CE17:CE29">CN17+CQ17</f>
        <v>9167.7164</v>
      </c>
      <c r="CF17" s="230" t="s">
        <v>146</v>
      </c>
      <c r="CG17" s="232" t="s">
        <v>145</v>
      </c>
      <c r="CH17" s="230">
        <f>CH19+CH21+CH23+CH25+CH27</f>
        <v>3090.4476999999997</v>
      </c>
      <c r="CI17" s="231" t="s">
        <v>146</v>
      </c>
      <c r="CJ17" s="230" t="s">
        <v>145</v>
      </c>
      <c r="CK17" s="230">
        <f>CK19+CK21+CK23+CK25+CK27</f>
        <v>5.2233</v>
      </c>
      <c r="CL17" s="230" t="s">
        <v>146</v>
      </c>
      <c r="CM17" s="232" t="s">
        <v>145</v>
      </c>
      <c r="CN17" s="220">
        <f aca="true" t="shared" si="9" ref="CN17:CN48">CH17+CK17</f>
        <v>3095.671</v>
      </c>
      <c r="CO17" s="230" t="s">
        <v>146</v>
      </c>
      <c r="CP17" s="233" t="s">
        <v>145</v>
      </c>
      <c r="CQ17" s="230">
        <f>CQ19+CQ21+CQ23+CQ25+CQ27</f>
        <v>6072.0454</v>
      </c>
      <c r="CR17" s="234" t="s">
        <v>146</v>
      </c>
      <c r="CS17" s="224"/>
      <c r="CT17" s="229" t="s">
        <v>145</v>
      </c>
      <c r="CU17" s="220"/>
      <c r="CV17" s="230" t="s">
        <v>146</v>
      </c>
      <c r="CW17" s="232" t="s">
        <v>145</v>
      </c>
      <c r="CX17" s="230">
        <f>CX19+CX21+CX23+CX25+CX27</f>
        <v>0</v>
      </c>
      <c r="CY17" s="231" t="s">
        <v>146</v>
      </c>
      <c r="CZ17" s="230" t="s">
        <v>145</v>
      </c>
      <c r="DA17" s="230">
        <f>DA19+DA21+DA23+DA25+DA27</f>
        <v>0</v>
      </c>
      <c r="DB17" s="230" t="s">
        <v>146</v>
      </c>
      <c r="DC17" s="232" t="s">
        <v>145</v>
      </c>
      <c r="DD17" s="220">
        <f aca="true" t="shared" si="10" ref="DD17:DD28">CX17+DA17</f>
        <v>0</v>
      </c>
      <c r="DE17" s="230" t="s">
        <v>146</v>
      </c>
      <c r="DF17" s="233" t="s">
        <v>145</v>
      </c>
      <c r="DG17" s="230">
        <f>DG19+DG21+DG23+DG25+DG27</f>
        <v>0</v>
      </c>
      <c r="DH17" s="234" t="s">
        <v>146</v>
      </c>
      <c r="DI17" s="300"/>
      <c r="DJ17" s="228"/>
    </row>
    <row r="18" spans="1:114" s="245" customFormat="1" ht="15.75" customHeight="1" thickBot="1">
      <c r="A18" s="651"/>
      <c r="B18" s="652"/>
      <c r="C18" s="236"/>
      <c r="D18" s="237">
        <f t="shared" si="1"/>
        <v>41.805699999999995</v>
      </c>
      <c r="E18" s="237"/>
      <c r="F18" s="238"/>
      <c r="G18" s="237">
        <f>G20+G22+G24+G26+G28</f>
        <v>0</v>
      </c>
      <c r="H18" s="239"/>
      <c r="I18" s="237"/>
      <c r="J18" s="237">
        <f>J20+J22+J24+J26+J28</f>
        <v>0</v>
      </c>
      <c r="K18" s="237"/>
      <c r="L18" s="238"/>
      <c r="M18" s="237">
        <f t="shared" si="2"/>
        <v>0</v>
      </c>
      <c r="N18" s="237"/>
      <c r="O18" s="240"/>
      <c r="P18" s="237">
        <f>P20+P22+P24+P26+P28</f>
        <v>41.805699999999995</v>
      </c>
      <c r="Q18" s="241"/>
      <c r="R18" s="246"/>
      <c r="S18" s="237">
        <f aca="true" t="shared" si="11" ref="S18:S28">AB18+AE18</f>
        <v>11.8846</v>
      </c>
      <c r="T18" s="237"/>
      <c r="U18" s="238"/>
      <c r="V18" s="303">
        <f>V20+V22+V24+V26+V28</f>
        <v>0.5643</v>
      </c>
      <c r="W18" s="239"/>
      <c r="X18" s="237"/>
      <c r="Y18" s="303">
        <f>Y20+Y22+Y24+Y26+Y28</f>
        <v>0.041400000000000006</v>
      </c>
      <c r="Z18" s="237"/>
      <c r="AA18" s="238"/>
      <c r="AB18" s="237">
        <f t="shared" si="3"/>
        <v>0.6057</v>
      </c>
      <c r="AC18" s="237"/>
      <c r="AD18" s="240"/>
      <c r="AE18" s="303">
        <f>AE20+AE22+AE24+AE26+AE28</f>
        <v>11.2789</v>
      </c>
      <c r="AF18" s="247"/>
      <c r="AG18" s="224"/>
      <c r="AH18" s="246"/>
      <c r="AI18" s="237">
        <f>AR18+AU18</f>
        <v>235.9821</v>
      </c>
      <c r="AJ18" s="237"/>
      <c r="AK18" s="238"/>
      <c r="AL18" s="237">
        <f>AL20+AL22+AL24+AL26+AL28</f>
        <v>110.0796</v>
      </c>
      <c r="AM18" s="239"/>
      <c r="AN18" s="237"/>
      <c r="AO18" s="237">
        <f>AO20+AO22+AO24+AO26+AO28</f>
        <v>0.3484</v>
      </c>
      <c r="AP18" s="237"/>
      <c r="AQ18" s="238"/>
      <c r="AR18" s="237">
        <f t="shared" si="0"/>
        <v>110.428</v>
      </c>
      <c r="AS18" s="237"/>
      <c r="AT18" s="240"/>
      <c r="AU18" s="237">
        <f>AU20+AU22+AU24+AU26+AU28</f>
        <v>125.5541</v>
      </c>
      <c r="AV18" s="247"/>
      <c r="AW18" s="246"/>
      <c r="AX18" s="237">
        <f t="shared" si="4"/>
        <v>325.1784</v>
      </c>
      <c r="AY18" s="237"/>
      <c r="AZ18" s="238"/>
      <c r="BA18" s="237">
        <f>BA20+BA22+BA24+BA26+BA28</f>
        <v>297.8146</v>
      </c>
      <c r="BB18" s="239"/>
      <c r="BC18" s="237"/>
      <c r="BD18" s="237">
        <f>BD20+BD22+BD24+BD26+BD28</f>
        <v>0</v>
      </c>
      <c r="BE18" s="237"/>
      <c r="BF18" s="238"/>
      <c r="BG18" s="237">
        <f t="shared" si="5"/>
        <v>297.8146</v>
      </c>
      <c r="BH18" s="237"/>
      <c r="BI18" s="240"/>
      <c r="BJ18" s="237">
        <f>BJ20+BJ22+BJ24+BJ26+BJ28</f>
        <v>27.363799999999998</v>
      </c>
      <c r="BK18" s="241"/>
      <c r="BL18" s="304"/>
      <c r="BM18" s="651"/>
      <c r="BN18" s="652"/>
      <c r="BO18" s="236"/>
      <c r="BP18" s="237">
        <f t="shared" si="6"/>
        <v>3.4772999999999996</v>
      </c>
      <c r="BQ18" s="237"/>
      <c r="BR18" s="238"/>
      <c r="BS18" s="237">
        <f>BS20+BS22+BS24+BS26+BS28</f>
        <v>0</v>
      </c>
      <c r="BT18" s="239"/>
      <c r="BU18" s="237"/>
      <c r="BV18" s="237">
        <f>BV20+BV22+BV24+BV26+BV28</f>
        <v>0</v>
      </c>
      <c r="BW18" s="237"/>
      <c r="BX18" s="238"/>
      <c r="BY18" s="237">
        <f t="shared" si="7"/>
        <v>0</v>
      </c>
      <c r="BZ18" s="237"/>
      <c r="CA18" s="240"/>
      <c r="CB18" s="237">
        <f>CB20+CB22+CB24+CB26+CB28</f>
        <v>3.4772999999999996</v>
      </c>
      <c r="CC18" s="241"/>
      <c r="CD18" s="246"/>
      <c r="CE18" s="237">
        <f t="shared" si="8"/>
        <v>116.1144</v>
      </c>
      <c r="CF18" s="237"/>
      <c r="CG18" s="238"/>
      <c r="CH18" s="237">
        <f>CH20+CH22+CH24+CH26+CH28</f>
        <v>116.1144</v>
      </c>
      <c r="CI18" s="239"/>
      <c r="CJ18" s="237"/>
      <c r="CK18" s="237">
        <f>CK20+CK22+CK24+CK26+CK28</f>
        <v>0</v>
      </c>
      <c r="CL18" s="237"/>
      <c r="CM18" s="238"/>
      <c r="CN18" s="237">
        <f t="shared" si="9"/>
        <v>116.1144</v>
      </c>
      <c r="CO18" s="237"/>
      <c r="CP18" s="240"/>
      <c r="CQ18" s="237">
        <f>CQ20+CQ22+CQ24+CQ26+CQ28</f>
        <v>0</v>
      </c>
      <c r="CR18" s="247"/>
      <c r="CS18" s="224"/>
      <c r="CT18" s="246"/>
      <c r="CU18" s="237"/>
      <c r="CV18" s="237"/>
      <c r="CW18" s="238"/>
      <c r="CX18" s="237">
        <f>CX20+CX22+CX24+CX26+CX28</f>
        <v>0</v>
      </c>
      <c r="CY18" s="239"/>
      <c r="CZ18" s="237"/>
      <c r="DA18" s="237">
        <f>DA20+DA22+DA24+DA26+DA28</f>
        <v>0</v>
      </c>
      <c r="DB18" s="237"/>
      <c r="DC18" s="238"/>
      <c r="DD18" s="237">
        <f t="shared" si="10"/>
        <v>0</v>
      </c>
      <c r="DE18" s="237"/>
      <c r="DF18" s="240"/>
      <c r="DG18" s="237">
        <f>DG20+DG22+DG24+DG26+DG28</f>
        <v>0</v>
      </c>
      <c r="DH18" s="247"/>
      <c r="DI18" s="304"/>
      <c r="DJ18" s="228"/>
    </row>
    <row r="19" spans="1:114" s="197" customFormat="1" ht="15.75" customHeight="1">
      <c r="A19" s="572">
        <v>1</v>
      </c>
      <c r="B19" s="574" t="s">
        <v>149</v>
      </c>
      <c r="C19" s="209" t="s">
        <v>145</v>
      </c>
      <c r="D19" s="209">
        <f t="shared" si="1"/>
        <v>0</v>
      </c>
      <c r="E19" s="209" t="s">
        <v>146</v>
      </c>
      <c r="F19" s="427" t="s">
        <v>145</v>
      </c>
      <c r="G19" s="252"/>
      <c r="H19" s="252" t="s">
        <v>146</v>
      </c>
      <c r="I19" s="427" t="s">
        <v>145</v>
      </c>
      <c r="J19" s="252"/>
      <c r="K19" s="252" t="s">
        <v>146</v>
      </c>
      <c r="L19" s="427" t="s">
        <v>145</v>
      </c>
      <c r="M19" s="209">
        <f t="shared" si="2"/>
        <v>0</v>
      </c>
      <c r="N19" s="252" t="s">
        <v>146</v>
      </c>
      <c r="O19" s="212" t="s">
        <v>145</v>
      </c>
      <c r="P19" s="209"/>
      <c r="Q19" s="209" t="s">
        <v>146</v>
      </c>
      <c r="R19" s="208" t="s">
        <v>145</v>
      </c>
      <c r="S19" s="209">
        <f t="shared" si="11"/>
        <v>0</v>
      </c>
      <c r="T19" s="209" t="s">
        <v>146</v>
      </c>
      <c r="U19" s="212" t="s">
        <v>145</v>
      </c>
      <c r="V19" s="209"/>
      <c r="W19" s="209" t="s">
        <v>146</v>
      </c>
      <c r="X19" s="212" t="s">
        <v>145</v>
      </c>
      <c r="Y19" s="209"/>
      <c r="Z19" s="209" t="s">
        <v>146</v>
      </c>
      <c r="AA19" s="212" t="s">
        <v>145</v>
      </c>
      <c r="AB19" s="209">
        <f t="shared" si="3"/>
        <v>0</v>
      </c>
      <c r="AC19" s="209" t="s">
        <v>146</v>
      </c>
      <c r="AD19" s="212" t="s">
        <v>145</v>
      </c>
      <c r="AE19" s="209"/>
      <c r="AF19" s="211" t="s">
        <v>146</v>
      </c>
      <c r="AG19" s="209"/>
      <c r="AH19" s="208" t="s">
        <v>145</v>
      </c>
      <c r="AI19" s="209"/>
      <c r="AJ19" s="209" t="s">
        <v>146</v>
      </c>
      <c r="AK19" s="212" t="s">
        <v>145</v>
      </c>
      <c r="AL19" s="209"/>
      <c r="AM19" s="209" t="s">
        <v>146</v>
      </c>
      <c r="AN19" s="212" t="s">
        <v>145</v>
      </c>
      <c r="AO19" s="209"/>
      <c r="AP19" s="209" t="s">
        <v>146</v>
      </c>
      <c r="AQ19" s="212" t="s">
        <v>145</v>
      </c>
      <c r="AR19" s="209">
        <f t="shared" si="0"/>
        <v>0</v>
      </c>
      <c r="AS19" s="209" t="s">
        <v>146</v>
      </c>
      <c r="AT19" s="212" t="s">
        <v>145</v>
      </c>
      <c r="AU19" s="209"/>
      <c r="AV19" s="211" t="s">
        <v>146</v>
      </c>
      <c r="AW19" s="208" t="s">
        <v>145</v>
      </c>
      <c r="AX19" s="209">
        <f t="shared" si="4"/>
        <v>0</v>
      </c>
      <c r="AY19" s="209" t="s">
        <v>146</v>
      </c>
      <c r="AZ19" s="212" t="s">
        <v>145</v>
      </c>
      <c r="BA19" s="209"/>
      <c r="BB19" s="209" t="s">
        <v>146</v>
      </c>
      <c r="BC19" s="212" t="s">
        <v>145</v>
      </c>
      <c r="BD19" s="209"/>
      <c r="BE19" s="209" t="s">
        <v>146</v>
      </c>
      <c r="BF19" s="212" t="s">
        <v>145</v>
      </c>
      <c r="BG19" s="209">
        <f t="shared" si="5"/>
        <v>0</v>
      </c>
      <c r="BH19" s="209" t="s">
        <v>146</v>
      </c>
      <c r="BI19" s="212" t="s">
        <v>145</v>
      </c>
      <c r="BJ19" s="209"/>
      <c r="BK19" s="209" t="s">
        <v>146</v>
      </c>
      <c r="BL19" s="653">
        <v>1</v>
      </c>
      <c r="BM19" s="572">
        <v>1</v>
      </c>
      <c r="BN19" s="574" t="s">
        <v>149</v>
      </c>
      <c r="BO19" s="209" t="s">
        <v>145</v>
      </c>
      <c r="BP19" s="209">
        <f t="shared" si="6"/>
        <v>0</v>
      </c>
      <c r="BQ19" s="209" t="s">
        <v>146</v>
      </c>
      <c r="BR19" s="212" t="s">
        <v>145</v>
      </c>
      <c r="BS19" s="209"/>
      <c r="BT19" s="209" t="s">
        <v>146</v>
      </c>
      <c r="BU19" s="212" t="s">
        <v>145</v>
      </c>
      <c r="BV19" s="209"/>
      <c r="BW19" s="209" t="s">
        <v>146</v>
      </c>
      <c r="BX19" s="212" t="s">
        <v>145</v>
      </c>
      <c r="BY19" s="209">
        <f t="shared" si="7"/>
        <v>0</v>
      </c>
      <c r="BZ19" s="209" t="s">
        <v>146</v>
      </c>
      <c r="CA19" s="212" t="s">
        <v>145</v>
      </c>
      <c r="CB19" s="209"/>
      <c r="CC19" s="209" t="s">
        <v>146</v>
      </c>
      <c r="CD19" s="208" t="s">
        <v>145</v>
      </c>
      <c r="CE19" s="209">
        <f t="shared" si="8"/>
        <v>934.0129000000001</v>
      </c>
      <c r="CF19" s="209" t="s">
        <v>146</v>
      </c>
      <c r="CG19" s="212" t="s">
        <v>145</v>
      </c>
      <c r="CH19" s="209">
        <v>795.2267</v>
      </c>
      <c r="CI19" s="209" t="s">
        <v>146</v>
      </c>
      <c r="CJ19" s="212" t="s">
        <v>145</v>
      </c>
      <c r="CK19" s="209">
        <v>5.2233</v>
      </c>
      <c r="CL19" s="209" t="s">
        <v>146</v>
      </c>
      <c r="CM19" s="212" t="s">
        <v>145</v>
      </c>
      <c r="CN19" s="209">
        <f t="shared" si="9"/>
        <v>800.45</v>
      </c>
      <c r="CO19" s="209" t="s">
        <v>146</v>
      </c>
      <c r="CP19" s="212" t="s">
        <v>145</v>
      </c>
      <c r="CQ19" s="209">
        <v>133.5629</v>
      </c>
      <c r="CR19" s="211" t="s">
        <v>146</v>
      </c>
      <c r="CS19" s="209"/>
      <c r="CT19" s="208" t="s">
        <v>145</v>
      </c>
      <c r="CU19" s="209">
        <f aca="true" t="shared" si="12" ref="CU19:CU28">DD19+DG19</f>
        <v>0</v>
      </c>
      <c r="CV19" s="209" t="s">
        <v>146</v>
      </c>
      <c r="CW19" s="212" t="s">
        <v>145</v>
      </c>
      <c r="CX19" s="209"/>
      <c r="CY19" s="209" t="s">
        <v>146</v>
      </c>
      <c r="CZ19" s="212" t="s">
        <v>145</v>
      </c>
      <c r="DA19" s="209"/>
      <c r="DB19" s="209" t="s">
        <v>146</v>
      </c>
      <c r="DC19" s="212" t="s">
        <v>145</v>
      </c>
      <c r="DD19" s="209">
        <f t="shared" si="10"/>
        <v>0</v>
      </c>
      <c r="DE19" s="209" t="s">
        <v>146</v>
      </c>
      <c r="DF19" s="212" t="s">
        <v>145</v>
      </c>
      <c r="DG19" s="209"/>
      <c r="DH19" s="211" t="s">
        <v>146</v>
      </c>
      <c r="DI19" s="650">
        <v>1</v>
      </c>
      <c r="DJ19" s="199"/>
    </row>
    <row r="20" spans="1:114" s="197" customFormat="1" ht="15.75" customHeight="1">
      <c r="A20" s="572"/>
      <c r="B20" s="574"/>
      <c r="C20" s="209"/>
      <c r="D20" s="254">
        <f t="shared" si="1"/>
        <v>0.9355</v>
      </c>
      <c r="E20" s="209"/>
      <c r="F20" s="427"/>
      <c r="G20" s="252"/>
      <c r="H20" s="252"/>
      <c r="I20" s="427"/>
      <c r="J20" s="252"/>
      <c r="K20" s="252"/>
      <c r="L20" s="427"/>
      <c r="M20" s="254">
        <f t="shared" si="2"/>
        <v>0</v>
      </c>
      <c r="N20" s="252"/>
      <c r="O20" s="212"/>
      <c r="P20" s="209">
        <v>0.9355</v>
      </c>
      <c r="Q20" s="209"/>
      <c r="R20" s="208"/>
      <c r="S20" s="305">
        <f t="shared" si="11"/>
        <v>0</v>
      </c>
      <c r="T20" s="209"/>
      <c r="U20" s="212"/>
      <c r="V20" s="209"/>
      <c r="W20" s="209"/>
      <c r="X20" s="212"/>
      <c r="Y20" s="209"/>
      <c r="Z20" s="209"/>
      <c r="AA20" s="212"/>
      <c r="AB20" s="254">
        <f t="shared" si="3"/>
        <v>0</v>
      </c>
      <c r="AC20" s="209"/>
      <c r="AD20" s="212"/>
      <c r="AE20" s="291"/>
      <c r="AF20" s="211"/>
      <c r="AG20" s="209"/>
      <c r="AH20" s="208"/>
      <c r="AI20" s="254">
        <f>AR20+AU20</f>
        <v>54.0591</v>
      </c>
      <c r="AJ20" s="209"/>
      <c r="AK20" s="212"/>
      <c r="AL20" s="209">
        <v>17.81</v>
      </c>
      <c r="AM20" s="209"/>
      <c r="AN20" s="212"/>
      <c r="AO20" s="209"/>
      <c r="AP20" s="209"/>
      <c r="AQ20" s="212"/>
      <c r="AR20" s="254">
        <f t="shared" si="0"/>
        <v>17.81</v>
      </c>
      <c r="AS20" s="209"/>
      <c r="AT20" s="212"/>
      <c r="AU20" s="209">
        <v>36.2491</v>
      </c>
      <c r="AV20" s="211"/>
      <c r="AW20" s="208"/>
      <c r="AX20" s="254">
        <f t="shared" si="4"/>
        <v>0</v>
      </c>
      <c r="AY20" s="209"/>
      <c r="AZ20" s="212"/>
      <c r="BA20" s="209"/>
      <c r="BB20" s="209"/>
      <c r="BC20" s="212"/>
      <c r="BD20" s="209"/>
      <c r="BE20" s="209"/>
      <c r="BF20" s="212"/>
      <c r="BG20" s="254">
        <f t="shared" si="5"/>
        <v>0</v>
      </c>
      <c r="BH20" s="209"/>
      <c r="BI20" s="212"/>
      <c r="BJ20" s="209"/>
      <c r="BK20" s="209"/>
      <c r="BL20" s="653"/>
      <c r="BM20" s="572"/>
      <c r="BN20" s="574"/>
      <c r="BO20" s="209"/>
      <c r="BP20" s="254">
        <f t="shared" si="6"/>
        <v>1.397</v>
      </c>
      <c r="BQ20" s="209"/>
      <c r="BR20" s="212"/>
      <c r="BS20" s="209"/>
      <c r="BT20" s="209"/>
      <c r="BU20" s="212"/>
      <c r="BV20" s="209"/>
      <c r="BW20" s="209"/>
      <c r="BX20" s="212"/>
      <c r="BY20" s="254">
        <f t="shared" si="7"/>
        <v>0</v>
      </c>
      <c r="BZ20" s="209"/>
      <c r="CA20" s="212"/>
      <c r="CB20" s="209">
        <v>1.397</v>
      </c>
      <c r="CC20" s="209"/>
      <c r="CD20" s="208"/>
      <c r="CE20" s="254">
        <f t="shared" si="8"/>
        <v>36.41</v>
      </c>
      <c r="CF20" s="209"/>
      <c r="CG20" s="212"/>
      <c r="CH20" s="209">
        <v>36.41</v>
      </c>
      <c r="CI20" s="209"/>
      <c r="CJ20" s="212"/>
      <c r="CK20" s="209"/>
      <c r="CL20" s="209"/>
      <c r="CM20" s="212"/>
      <c r="CN20" s="254">
        <f t="shared" si="9"/>
        <v>36.41</v>
      </c>
      <c r="CO20" s="209"/>
      <c r="CP20" s="212"/>
      <c r="CQ20" s="209"/>
      <c r="CR20" s="211"/>
      <c r="CS20" s="209"/>
      <c r="CT20" s="208"/>
      <c r="CU20" s="254">
        <f t="shared" si="12"/>
        <v>0</v>
      </c>
      <c r="CV20" s="209"/>
      <c r="CW20" s="212"/>
      <c r="CX20" s="209"/>
      <c r="CY20" s="209"/>
      <c r="CZ20" s="212"/>
      <c r="DA20" s="209"/>
      <c r="DB20" s="209"/>
      <c r="DC20" s="212"/>
      <c r="DD20" s="254">
        <f t="shared" si="10"/>
        <v>0</v>
      </c>
      <c r="DE20" s="209"/>
      <c r="DF20" s="212"/>
      <c r="DG20" s="209"/>
      <c r="DH20" s="211"/>
      <c r="DI20" s="650"/>
      <c r="DJ20" s="199"/>
    </row>
    <row r="21" spans="1:114" s="197" customFormat="1" ht="15.75" customHeight="1">
      <c r="A21" s="579">
        <v>2</v>
      </c>
      <c r="B21" s="578" t="s">
        <v>150</v>
      </c>
      <c r="C21" s="258" t="s">
        <v>145</v>
      </c>
      <c r="D21" s="209">
        <f t="shared" si="1"/>
        <v>0</v>
      </c>
      <c r="E21" s="258" t="s">
        <v>146</v>
      </c>
      <c r="F21" s="430" t="s">
        <v>145</v>
      </c>
      <c r="G21" s="260"/>
      <c r="H21" s="260" t="s">
        <v>146</v>
      </c>
      <c r="I21" s="430" t="s">
        <v>145</v>
      </c>
      <c r="J21" s="260"/>
      <c r="K21" s="260" t="s">
        <v>146</v>
      </c>
      <c r="L21" s="430" t="s">
        <v>145</v>
      </c>
      <c r="M21" s="209">
        <f t="shared" si="2"/>
        <v>0</v>
      </c>
      <c r="N21" s="260" t="s">
        <v>146</v>
      </c>
      <c r="O21" s="259" t="s">
        <v>145</v>
      </c>
      <c r="P21" s="258"/>
      <c r="Q21" s="258" t="s">
        <v>146</v>
      </c>
      <c r="R21" s="261" t="s">
        <v>145</v>
      </c>
      <c r="S21" s="209">
        <f t="shared" si="11"/>
        <v>0</v>
      </c>
      <c r="T21" s="258" t="s">
        <v>146</v>
      </c>
      <c r="U21" s="259" t="s">
        <v>145</v>
      </c>
      <c r="V21" s="258"/>
      <c r="W21" s="258" t="s">
        <v>146</v>
      </c>
      <c r="X21" s="259" t="s">
        <v>145</v>
      </c>
      <c r="Y21" s="258"/>
      <c r="Z21" s="258" t="s">
        <v>146</v>
      </c>
      <c r="AA21" s="259" t="s">
        <v>145</v>
      </c>
      <c r="AB21" s="209">
        <f t="shared" si="3"/>
        <v>0</v>
      </c>
      <c r="AC21" s="258" t="s">
        <v>146</v>
      </c>
      <c r="AD21" s="259" t="s">
        <v>145</v>
      </c>
      <c r="AE21" s="258"/>
      <c r="AF21" s="262" t="s">
        <v>146</v>
      </c>
      <c r="AG21" s="209"/>
      <c r="AH21" s="261" t="s">
        <v>145</v>
      </c>
      <c r="AI21" s="209"/>
      <c r="AJ21" s="258" t="s">
        <v>146</v>
      </c>
      <c r="AK21" s="259" t="s">
        <v>145</v>
      </c>
      <c r="AL21" s="258"/>
      <c r="AM21" s="258" t="s">
        <v>146</v>
      </c>
      <c r="AN21" s="259" t="s">
        <v>145</v>
      </c>
      <c r="AO21" s="258"/>
      <c r="AP21" s="258" t="s">
        <v>146</v>
      </c>
      <c r="AQ21" s="259" t="s">
        <v>145</v>
      </c>
      <c r="AR21" s="209">
        <f t="shared" si="0"/>
        <v>0</v>
      </c>
      <c r="AS21" s="258" t="s">
        <v>146</v>
      </c>
      <c r="AT21" s="259" t="s">
        <v>145</v>
      </c>
      <c r="AU21" s="258"/>
      <c r="AV21" s="262" t="s">
        <v>146</v>
      </c>
      <c r="AW21" s="261" t="s">
        <v>145</v>
      </c>
      <c r="AX21" s="209">
        <f t="shared" si="4"/>
        <v>0</v>
      </c>
      <c r="AY21" s="258" t="s">
        <v>146</v>
      </c>
      <c r="AZ21" s="259" t="s">
        <v>145</v>
      </c>
      <c r="BA21" s="258"/>
      <c r="BB21" s="258" t="s">
        <v>146</v>
      </c>
      <c r="BC21" s="259" t="s">
        <v>145</v>
      </c>
      <c r="BD21" s="258"/>
      <c r="BE21" s="258" t="s">
        <v>146</v>
      </c>
      <c r="BF21" s="259" t="s">
        <v>145</v>
      </c>
      <c r="BG21" s="209">
        <f t="shared" si="5"/>
        <v>0</v>
      </c>
      <c r="BH21" s="258" t="s">
        <v>146</v>
      </c>
      <c r="BI21" s="259" t="s">
        <v>145</v>
      </c>
      <c r="BJ21" s="258"/>
      <c r="BK21" s="258" t="s">
        <v>146</v>
      </c>
      <c r="BL21" s="644">
        <f>BL19+1</f>
        <v>2</v>
      </c>
      <c r="BM21" s="579">
        <f>BM19+1</f>
        <v>2</v>
      </c>
      <c r="BN21" s="578" t="s">
        <v>150</v>
      </c>
      <c r="BO21" s="258" t="s">
        <v>145</v>
      </c>
      <c r="BP21" s="209">
        <f t="shared" si="6"/>
        <v>0</v>
      </c>
      <c r="BQ21" s="258" t="s">
        <v>146</v>
      </c>
      <c r="BR21" s="259" t="s">
        <v>145</v>
      </c>
      <c r="BS21" s="258"/>
      <c r="BT21" s="258" t="s">
        <v>146</v>
      </c>
      <c r="BU21" s="259" t="s">
        <v>145</v>
      </c>
      <c r="BV21" s="258"/>
      <c r="BW21" s="258" t="s">
        <v>146</v>
      </c>
      <c r="BX21" s="259" t="s">
        <v>145</v>
      </c>
      <c r="BY21" s="209">
        <f t="shared" si="7"/>
        <v>0</v>
      </c>
      <c r="BZ21" s="258" t="s">
        <v>146</v>
      </c>
      <c r="CA21" s="259" t="s">
        <v>145</v>
      </c>
      <c r="CB21" s="258"/>
      <c r="CC21" s="258" t="s">
        <v>146</v>
      </c>
      <c r="CD21" s="261" t="s">
        <v>145</v>
      </c>
      <c r="CE21" s="209">
        <f t="shared" si="8"/>
        <v>6067.0614</v>
      </c>
      <c r="CF21" s="258" t="s">
        <v>146</v>
      </c>
      <c r="CG21" s="259" t="s">
        <v>145</v>
      </c>
      <c r="CH21" s="258">
        <v>258.254</v>
      </c>
      <c r="CI21" s="258" t="s">
        <v>146</v>
      </c>
      <c r="CJ21" s="259" t="s">
        <v>145</v>
      </c>
      <c r="CK21" s="258"/>
      <c r="CL21" s="258" t="s">
        <v>146</v>
      </c>
      <c r="CM21" s="259" t="s">
        <v>145</v>
      </c>
      <c r="CN21" s="306">
        <f t="shared" si="9"/>
        <v>258.254</v>
      </c>
      <c r="CO21" s="258" t="s">
        <v>146</v>
      </c>
      <c r="CP21" s="259" t="s">
        <v>145</v>
      </c>
      <c r="CQ21" s="258">
        <v>5808.8074</v>
      </c>
      <c r="CR21" s="262" t="s">
        <v>146</v>
      </c>
      <c r="CS21" s="209"/>
      <c r="CT21" s="261" t="s">
        <v>145</v>
      </c>
      <c r="CU21" s="209">
        <f t="shared" si="12"/>
        <v>0</v>
      </c>
      <c r="CV21" s="258" t="s">
        <v>146</v>
      </c>
      <c r="CW21" s="259" t="s">
        <v>145</v>
      </c>
      <c r="CX21" s="258"/>
      <c r="CY21" s="258" t="s">
        <v>146</v>
      </c>
      <c r="CZ21" s="259" t="s">
        <v>145</v>
      </c>
      <c r="DA21" s="258"/>
      <c r="DB21" s="258" t="s">
        <v>146</v>
      </c>
      <c r="DC21" s="259" t="s">
        <v>145</v>
      </c>
      <c r="DD21" s="209">
        <f t="shared" si="10"/>
        <v>0</v>
      </c>
      <c r="DE21" s="258" t="s">
        <v>146</v>
      </c>
      <c r="DF21" s="259" t="s">
        <v>145</v>
      </c>
      <c r="DG21" s="258"/>
      <c r="DH21" s="262" t="s">
        <v>146</v>
      </c>
      <c r="DI21" s="655">
        <v>2</v>
      </c>
      <c r="DJ21" s="199"/>
    </row>
    <row r="22" spans="1:114" s="197" customFormat="1" ht="15.75" customHeight="1">
      <c r="A22" s="580"/>
      <c r="B22" s="611"/>
      <c r="C22" s="254"/>
      <c r="D22" s="254">
        <f t="shared" si="1"/>
        <v>0</v>
      </c>
      <c r="E22" s="254"/>
      <c r="F22" s="431"/>
      <c r="G22" s="263"/>
      <c r="H22" s="263"/>
      <c r="I22" s="431"/>
      <c r="J22" s="263"/>
      <c r="K22" s="263"/>
      <c r="L22" s="431"/>
      <c r="M22" s="254">
        <f t="shared" si="2"/>
        <v>0</v>
      </c>
      <c r="N22" s="263"/>
      <c r="O22" s="255"/>
      <c r="P22" s="254"/>
      <c r="Q22" s="254"/>
      <c r="R22" s="264"/>
      <c r="S22" s="305">
        <f t="shared" si="11"/>
        <v>0.9501</v>
      </c>
      <c r="T22" s="254"/>
      <c r="U22" s="255"/>
      <c r="V22" s="307">
        <v>0.5643</v>
      </c>
      <c r="W22" s="254"/>
      <c r="X22" s="255"/>
      <c r="Y22" s="266">
        <f>0.0175</f>
        <v>0.0175</v>
      </c>
      <c r="Z22" s="254"/>
      <c r="AA22" s="255"/>
      <c r="AB22" s="254">
        <f t="shared" si="3"/>
        <v>0.5818</v>
      </c>
      <c r="AC22" s="254"/>
      <c r="AD22" s="255"/>
      <c r="AE22" s="307">
        <v>0.3683</v>
      </c>
      <c r="AF22" s="265"/>
      <c r="AG22" s="209"/>
      <c r="AH22" s="264"/>
      <c r="AI22" s="254">
        <f>AR22+AU22</f>
        <v>0</v>
      </c>
      <c r="AJ22" s="254"/>
      <c r="AK22" s="255"/>
      <c r="AL22" s="254"/>
      <c r="AM22" s="254"/>
      <c r="AN22" s="255"/>
      <c r="AO22" s="254"/>
      <c r="AP22" s="254"/>
      <c r="AQ22" s="255"/>
      <c r="AR22" s="254">
        <f t="shared" si="0"/>
        <v>0</v>
      </c>
      <c r="AS22" s="254"/>
      <c r="AT22" s="255"/>
      <c r="AU22" s="254"/>
      <c r="AV22" s="265"/>
      <c r="AW22" s="264"/>
      <c r="AX22" s="254">
        <f t="shared" si="4"/>
        <v>0</v>
      </c>
      <c r="AY22" s="254"/>
      <c r="AZ22" s="255"/>
      <c r="BA22" s="254"/>
      <c r="BB22" s="254"/>
      <c r="BC22" s="255"/>
      <c r="BD22" s="254"/>
      <c r="BE22" s="254"/>
      <c r="BF22" s="255"/>
      <c r="BG22" s="254">
        <f t="shared" si="5"/>
        <v>0</v>
      </c>
      <c r="BH22" s="254"/>
      <c r="BI22" s="255"/>
      <c r="BJ22" s="254"/>
      <c r="BK22" s="254"/>
      <c r="BL22" s="645"/>
      <c r="BM22" s="580"/>
      <c r="BN22" s="611"/>
      <c r="BO22" s="254"/>
      <c r="BP22" s="254">
        <f t="shared" si="6"/>
        <v>0</v>
      </c>
      <c r="BQ22" s="254"/>
      <c r="BR22" s="255"/>
      <c r="BS22" s="254"/>
      <c r="BT22" s="254"/>
      <c r="BU22" s="255"/>
      <c r="BV22" s="254"/>
      <c r="BW22" s="254"/>
      <c r="BX22" s="255"/>
      <c r="BY22" s="254">
        <f t="shared" si="7"/>
        <v>0</v>
      </c>
      <c r="BZ22" s="254"/>
      <c r="CA22" s="255"/>
      <c r="CB22" s="254"/>
      <c r="CC22" s="254"/>
      <c r="CD22" s="264"/>
      <c r="CE22" s="254">
        <f t="shared" si="8"/>
        <v>0</v>
      </c>
      <c r="CF22" s="254"/>
      <c r="CG22" s="255"/>
      <c r="CH22" s="254"/>
      <c r="CI22" s="254"/>
      <c r="CJ22" s="255"/>
      <c r="CK22" s="254"/>
      <c r="CL22" s="254"/>
      <c r="CM22" s="255"/>
      <c r="CN22" s="308">
        <f t="shared" si="9"/>
        <v>0</v>
      </c>
      <c r="CO22" s="254"/>
      <c r="CP22" s="255"/>
      <c r="CQ22" s="254"/>
      <c r="CR22" s="265"/>
      <c r="CS22" s="209"/>
      <c r="CT22" s="264"/>
      <c r="CU22" s="254">
        <f t="shared" si="12"/>
        <v>0</v>
      </c>
      <c r="CV22" s="254"/>
      <c r="CW22" s="255"/>
      <c r="CX22" s="254"/>
      <c r="CY22" s="254"/>
      <c r="CZ22" s="255"/>
      <c r="DA22" s="254"/>
      <c r="DB22" s="254"/>
      <c r="DC22" s="255"/>
      <c r="DD22" s="254">
        <f t="shared" si="10"/>
        <v>0</v>
      </c>
      <c r="DE22" s="254"/>
      <c r="DF22" s="255"/>
      <c r="DG22" s="254"/>
      <c r="DH22" s="265"/>
      <c r="DI22" s="656"/>
      <c r="DJ22" s="199"/>
    </row>
    <row r="23" spans="1:114" s="197" customFormat="1" ht="15.75" customHeight="1">
      <c r="A23" s="572">
        <v>3</v>
      </c>
      <c r="B23" s="574" t="s">
        <v>151</v>
      </c>
      <c r="C23" s="209" t="s">
        <v>145</v>
      </c>
      <c r="D23" s="209">
        <f t="shared" si="1"/>
        <v>0</v>
      </c>
      <c r="E23" s="209" t="s">
        <v>146</v>
      </c>
      <c r="F23" s="427" t="s">
        <v>145</v>
      </c>
      <c r="G23" s="252"/>
      <c r="H23" s="252" t="s">
        <v>146</v>
      </c>
      <c r="I23" s="427" t="s">
        <v>145</v>
      </c>
      <c r="J23" s="252"/>
      <c r="K23" s="252" t="s">
        <v>146</v>
      </c>
      <c r="L23" s="427" t="s">
        <v>145</v>
      </c>
      <c r="M23" s="209">
        <f t="shared" si="2"/>
        <v>0</v>
      </c>
      <c r="N23" s="252" t="s">
        <v>146</v>
      </c>
      <c r="O23" s="212" t="s">
        <v>145</v>
      </c>
      <c r="P23" s="209"/>
      <c r="Q23" s="209" t="s">
        <v>146</v>
      </c>
      <c r="R23" s="208" t="s">
        <v>145</v>
      </c>
      <c r="S23" s="209">
        <f t="shared" si="11"/>
        <v>0</v>
      </c>
      <c r="T23" s="209" t="s">
        <v>146</v>
      </c>
      <c r="U23" s="212" t="s">
        <v>145</v>
      </c>
      <c r="V23" s="209"/>
      <c r="W23" s="209" t="s">
        <v>146</v>
      </c>
      <c r="X23" s="212" t="s">
        <v>145</v>
      </c>
      <c r="Y23" s="209"/>
      <c r="Z23" s="209" t="s">
        <v>146</v>
      </c>
      <c r="AA23" s="212" t="s">
        <v>145</v>
      </c>
      <c r="AB23" s="209">
        <f t="shared" si="3"/>
        <v>0</v>
      </c>
      <c r="AC23" s="209" t="s">
        <v>146</v>
      </c>
      <c r="AD23" s="212" t="s">
        <v>145</v>
      </c>
      <c r="AE23" s="209"/>
      <c r="AF23" s="211" t="s">
        <v>146</v>
      </c>
      <c r="AG23" s="209"/>
      <c r="AH23" s="208" t="s">
        <v>145</v>
      </c>
      <c r="AI23" s="209"/>
      <c r="AJ23" s="209" t="s">
        <v>146</v>
      </c>
      <c r="AK23" s="212" t="s">
        <v>145</v>
      </c>
      <c r="AL23" s="209"/>
      <c r="AM23" s="209" t="s">
        <v>146</v>
      </c>
      <c r="AN23" s="212" t="s">
        <v>145</v>
      </c>
      <c r="AO23" s="209"/>
      <c r="AP23" s="209" t="s">
        <v>146</v>
      </c>
      <c r="AQ23" s="212" t="s">
        <v>145</v>
      </c>
      <c r="AR23" s="209">
        <f t="shared" si="0"/>
        <v>0</v>
      </c>
      <c r="AS23" s="209" t="s">
        <v>146</v>
      </c>
      <c r="AT23" s="212" t="s">
        <v>145</v>
      </c>
      <c r="AU23" s="209"/>
      <c r="AV23" s="211" t="s">
        <v>146</v>
      </c>
      <c r="AW23" s="208" t="s">
        <v>145</v>
      </c>
      <c r="AX23" s="209">
        <f t="shared" si="4"/>
        <v>0</v>
      </c>
      <c r="AY23" s="209" t="s">
        <v>146</v>
      </c>
      <c r="AZ23" s="212" t="s">
        <v>145</v>
      </c>
      <c r="BA23" s="209"/>
      <c r="BB23" s="209" t="s">
        <v>146</v>
      </c>
      <c r="BC23" s="212" t="s">
        <v>145</v>
      </c>
      <c r="BD23" s="209"/>
      <c r="BE23" s="209" t="s">
        <v>146</v>
      </c>
      <c r="BF23" s="212" t="s">
        <v>145</v>
      </c>
      <c r="BG23" s="209">
        <f t="shared" si="5"/>
        <v>0</v>
      </c>
      <c r="BH23" s="209" t="s">
        <v>146</v>
      </c>
      <c r="BI23" s="212" t="s">
        <v>145</v>
      </c>
      <c r="BJ23" s="209"/>
      <c r="BK23" s="209" t="s">
        <v>146</v>
      </c>
      <c r="BL23" s="644">
        <f>BL21+1</f>
        <v>3</v>
      </c>
      <c r="BM23" s="579">
        <f>BM21+1</f>
        <v>3</v>
      </c>
      <c r="BN23" s="574" t="s">
        <v>151</v>
      </c>
      <c r="BO23" s="209" t="s">
        <v>145</v>
      </c>
      <c r="BP23" s="209">
        <f t="shared" si="6"/>
        <v>0</v>
      </c>
      <c r="BQ23" s="209" t="s">
        <v>146</v>
      </c>
      <c r="BR23" s="212" t="s">
        <v>145</v>
      </c>
      <c r="BS23" s="209"/>
      <c r="BT23" s="209" t="s">
        <v>146</v>
      </c>
      <c r="BU23" s="212" t="s">
        <v>145</v>
      </c>
      <c r="BV23" s="209"/>
      <c r="BW23" s="209" t="s">
        <v>146</v>
      </c>
      <c r="BX23" s="212" t="s">
        <v>145</v>
      </c>
      <c r="BY23" s="209">
        <f t="shared" si="7"/>
        <v>0</v>
      </c>
      <c r="BZ23" s="209" t="s">
        <v>146</v>
      </c>
      <c r="CA23" s="212" t="s">
        <v>145</v>
      </c>
      <c r="CB23" s="209"/>
      <c r="CC23" s="209" t="s">
        <v>146</v>
      </c>
      <c r="CD23" s="208" t="s">
        <v>145</v>
      </c>
      <c r="CE23" s="209">
        <f t="shared" si="8"/>
        <v>761.4751</v>
      </c>
      <c r="CF23" s="209" t="s">
        <v>146</v>
      </c>
      <c r="CG23" s="212" t="s">
        <v>145</v>
      </c>
      <c r="CH23" s="209">
        <v>753.3</v>
      </c>
      <c r="CI23" s="209" t="s">
        <v>146</v>
      </c>
      <c r="CJ23" s="212" t="s">
        <v>145</v>
      </c>
      <c r="CK23" s="209"/>
      <c r="CL23" s="209" t="s">
        <v>146</v>
      </c>
      <c r="CM23" s="212" t="s">
        <v>145</v>
      </c>
      <c r="CN23" s="306">
        <f t="shared" si="9"/>
        <v>753.3</v>
      </c>
      <c r="CO23" s="209" t="s">
        <v>146</v>
      </c>
      <c r="CP23" s="212" t="s">
        <v>145</v>
      </c>
      <c r="CQ23" s="209">
        <v>8.1751</v>
      </c>
      <c r="CR23" s="211" t="s">
        <v>146</v>
      </c>
      <c r="CS23" s="209"/>
      <c r="CT23" s="208" t="s">
        <v>145</v>
      </c>
      <c r="CU23" s="209">
        <f t="shared" si="12"/>
        <v>0</v>
      </c>
      <c r="CV23" s="209" t="s">
        <v>146</v>
      </c>
      <c r="CW23" s="212" t="s">
        <v>145</v>
      </c>
      <c r="CX23" s="209"/>
      <c r="CY23" s="209" t="s">
        <v>146</v>
      </c>
      <c r="CZ23" s="212" t="s">
        <v>145</v>
      </c>
      <c r="DA23" s="209"/>
      <c r="DB23" s="209" t="s">
        <v>146</v>
      </c>
      <c r="DC23" s="212" t="s">
        <v>145</v>
      </c>
      <c r="DD23" s="209">
        <f t="shared" si="10"/>
        <v>0</v>
      </c>
      <c r="DE23" s="209" t="s">
        <v>146</v>
      </c>
      <c r="DF23" s="212" t="s">
        <v>145</v>
      </c>
      <c r="DG23" s="209"/>
      <c r="DH23" s="211" t="s">
        <v>146</v>
      </c>
      <c r="DI23" s="650">
        <v>3</v>
      </c>
      <c r="DJ23" s="199"/>
    </row>
    <row r="24" spans="1:114" s="197" customFormat="1" ht="15.75" customHeight="1">
      <c r="A24" s="572"/>
      <c r="B24" s="574"/>
      <c r="C24" s="209"/>
      <c r="D24" s="254">
        <f t="shared" si="1"/>
        <v>0</v>
      </c>
      <c r="E24" s="209"/>
      <c r="F24" s="427"/>
      <c r="G24" s="252"/>
      <c r="H24" s="252"/>
      <c r="I24" s="427"/>
      <c r="J24" s="252"/>
      <c r="K24" s="252"/>
      <c r="L24" s="427"/>
      <c r="M24" s="254">
        <f t="shared" si="2"/>
        <v>0</v>
      </c>
      <c r="N24" s="252"/>
      <c r="O24" s="212"/>
      <c r="P24" s="209"/>
      <c r="Q24" s="209"/>
      <c r="R24" s="208"/>
      <c r="S24" s="305">
        <f t="shared" si="11"/>
        <v>0</v>
      </c>
      <c r="T24" s="209"/>
      <c r="U24" s="212"/>
      <c r="V24" s="209"/>
      <c r="W24" s="209"/>
      <c r="X24" s="212"/>
      <c r="Y24" s="209"/>
      <c r="Z24" s="209"/>
      <c r="AA24" s="212"/>
      <c r="AB24" s="254">
        <f t="shared" si="3"/>
        <v>0</v>
      </c>
      <c r="AC24" s="209"/>
      <c r="AD24" s="212"/>
      <c r="AE24" s="209"/>
      <c r="AF24" s="211"/>
      <c r="AG24" s="209"/>
      <c r="AH24" s="208"/>
      <c r="AI24" s="254">
        <f>AR24+AU24</f>
        <v>37.683299999999996</v>
      </c>
      <c r="AJ24" s="209"/>
      <c r="AK24" s="212"/>
      <c r="AL24" s="209"/>
      <c r="AM24" s="209"/>
      <c r="AN24" s="212"/>
      <c r="AO24" s="256">
        <f>0.3484</f>
        <v>0.3484</v>
      </c>
      <c r="AP24" s="209"/>
      <c r="AQ24" s="212"/>
      <c r="AR24" s="254">
        <f t="shared" si="0"/>
        <v>0.3484</v>
      </c>
      <c r="AS24" s="209"/>
      <c r="AT24" s="212"/>
      <c r="AU24" s="209">
        <v>37.3349</v>
      </c>
      <c r="AV24" s="211"/>
      <c r="AW24" s="208"/>
      <c r="AX24" s="254">
        <f t="shared" si="4"/>
        <v>4.1989</v>
      </c>
      <c r="AY24" s="209"/>
      <c r="AZ24" s="212"/>
      <c r="BA24" s="209"/>
      <c r="BB24" s="209"/>
      <c r="BC24" s="212"/>
      <c r="BD24" s="209"/>
      <c r="BE24" s="209"/>
      <c r="BF24" s="212"/>
      <c r="BG24" s="254">
        <f t="shared" si="5"/>
        <v>0</v>
      </c>
      <c r="BH24" s="209"/>
      <c r="BI24" s="212"/>
      <c r="BJ24" s="209">
        <v>4.1989</v>
      </c>
      <c r="BK24" s="209"/>
      <c r="BL24" s="645"/>
      <c r="BM24" s="580"/>
      <c r="BN24" s="574"/>
      <c r="BO24" s="209"/>
      <c r="BP24" s="254">
        <f t="shared" si="6"/>
        <v>0</v>
      </c>
      <c r="BQ24" s="209"/>
      <c r="BR24" s="212"/>
      <c r="BS24" s="209"/>
      <c r="BT24" s="209"/>
      <c r="BU24" s="212"/>
      <c r="BV24" s="209"/>
      <c r="BW24" s="209"/>
      <c r="BX24" s="212"/>
      <c r="BY24" s="254">
        <f t="shared" si="7"/>
        <v>0</v>
      </c>
      <c r="BZ24" s="209"/>
      <c r="CA24" s="212"/>
      <c r="CB24" s="209"/>
      <c r="CC24" s="209"/>
      <c r="CD24" s="208"/>
      <c r="CE24" s="254">
        <f t="shared" si="8"/>
        <v>0</v>
      </c>
      <c r="CF24" s="209"/>
      <c r="CG24" s="212"/>
      <c r="CH24" s="209"/>
      <c r="CI24" s="209"/>
      <c r="CJ24" s="212"/>
      <c r="CK24" s="209"/>
      <c r="CL24" s="209"/>
      <c r="CM24" s="212"/>
      <c r="CN24" s="308">
        <f t="shared" si="9"/>
        <v>0</v>
      </c>
      <c r="CO24" s="209"/>
      <c r="CP24" s="212"/>
      <c r="CQ24" s="209"/>
      <c r="CR24" s="211"/>
      <c r="CS24" s="209"/>
      <c r="CT24" s="208"/>
      <c r="CU24" s="254">
        <f t="shared" si="12"/>
        <v>0</v>
      </c>
      <c r="CV24" s="209"/>
      <c r="CW24" s="212"/>
      <c r="CX24" s="209"/>
      <c r="CY24" s="209"/>
      <c r="CZ24" s="212"/>
      <c r="DA24" s="209"/>
      <c r="DB24" s="209"/>
      <c r="DC24" s="212"/>
      <c r="DD24" s="254">
        <f t="shared" si="10"/>
        <v>0</v>
      </c>
      <c r="DE24" s="209"/>
      <c r="DF24" s="212"/>
      <c r="DG24" s="209"/>
      <c r="DH24" s="211"/>
      <c r="DI24" s="650"/>
      <c r="DJ24" s="199"/>
    </row>
    <row r="25" spans="1:114" s="197" customFormat="1" ht="15.75" customHeight="1">
      <c r="A25" s="579">
        <v>4</v>
      </c>
      <c r="B25" s="578" t="s">
        <v>152</v>
      </c>
      <c r="C25" s="258" t="s">
        <v>145</v>
      </c>
      <c r="D25" s="209">
        <f t="shared" si="1"/>
        <v>0</v>
      </c>
      <c r="E25" s="258" t="s">
        <v>146</v>
      </c>
      <c r="F25" s="430" t="s">
        <v>145</v>
      </c>
      <c r="G25" s="260"/>
      <c r="H25" s="260" t="s">
        <v>146</v>
      </c>
      <c r="I25" s="430" t="s">
        <v>145</v>
      </c>
      <c r="J25" s="260"/>
      <c r="K25" s="260" t="s">
        <v>146</v>
      </c>
      <c r="L25" s="430" t="s">
        <v>145</v>
      </c>
      <c r="M25" s="209">
        <f t="shared" si="2"/>
        <v>0</v>
      </c>
      <c r="N25" s="260" t="s">
        <v>146</v>
      </c>
      <c r="O25" s="259" t="s">
        <v>145</v>
      </c>
      <c r="P25" s="258"/>
      <c r="Q25" s="258" t="s">
        <v>146</v>
      </c>
      <c r="R25" s="261" t="s">
        <v>145</v>
      </c>
      <c r="S25" s="209">
        <f t="shared" si="11"/>
        <v>0</v>
      </c>
      <c r="T25" s="258" t="s">
        <v>146</v>
      </c>
      <c r="U25" s="259" t="s">
        <v>145</v>
      </c>
      <c r="V25" s="258"/>
      <c r="W25" s="258" t="s">
        <v>146</v>
      </c>
      <c r="X25" s="259" t="s">
        <v>145</v>
      </c>
      <c r="Y25" s="258"/>
      <c r="Z25" s="258" t="s">
        <v>146</v>
      </c>
      <c r="AA25" s="259" t="s">
        <v>145</v>
      </c>
      <c r="AB25" s="209">
        <f t="shared" si="3"/>
        <v>0</v>
      </c>
      <c r="AC25" s="258" t="s">
        <v>146</v>
      </c>
      <c r="AD25" s="259" t="s">
        <v>145</v>
      </c>
      <c r="AE25" s="258"/>
      <c r="AF25" s="262" t="s">
        <v>146</v>
      </c>
      <c r="AG25" s="209"/>
      <c r="AH25" s="261" t="s">
        <v>145</v>
      </c>
      <c r="AI25" s="209"/>
      <c r="AJ25" s="258" t="s">
        <v>146</v>
      </c>
      <c r="AK25" s="259" t="s">
        <v>145</v>
      </c>
      <c r="AL25" s="258"/>
      <c r="AM25" s="258" t="s">
        <v>146</v>
      </c>
      <c r="AN25" s="259" t="s">
        <v>145</v>
      </c>
      <c r="AO25" s="258"/>
      <c r="AP25" s="258" t="s">
        <v>146</v>
      </c>
      <c r="AQ25" s="259" t="s">
        <v>145</v>
      </c>
      <c r="AR25" s="209">
        <f t="shared" si="0"/>
        <v>0</v>
      </c>
      <c r="AS25" s="258" t="s">
        <v>146</v>
      </c>
      <c r="AT25" s="259" t="s">
        <v>145</v>
      </c>
      <c r="AU25" s="258"/>
      <c r="AV25" s="262" t="s">
        <v>146</v>
      </c>
      <c r="AW25" s="261" t="s">
        <v>145</v>
      </c>
      <c r="AX25" s="209">
        <f t="shared" si="4"/>
        <v>0</v>
      </c>
      <c r="AY25" s="258" t="s">
        <v>146</v>
      </c>
      <c r="AZ25" s="259" t="s">
        <v>145</v>
      </c>
      <c r="BA25" s="258"/>
      <c r="BB25" s="258" t="s">
        <v>146</v>
      </c>
      <c r="BC25" s="259" t="s">
        <v>145</v>
      </c>
      <c r="BD25" s="258"/>
      <c r="BE25" s="258" t="s">
        <v>146</v>
      </c>
      <c r="BF25" s="259" t="s">
        <v>145</v>
      </c>
      <c r="BG25" s="209">
        <f t="shared" si="5"/>
        <v>0</v>
      </c>
      <c r="BH25" s="258" t="s">
        <v>146</v>
      </c>
      <c r="BI25" s="259" t="s">
        <v>145</v>
      </c>
      <c r="BJ25" s="258"/>
      <c r="BK25" s="258" t="s">
        <v>146</v>
      </c>
      <c r="BL25" s="644">
        <f>BL23+1</f>
        <v>4</v>
      </c>
      <c r="BM25" s="579">
        <f>BM23+1</f>
        <v>4</v>
      </c>
      <c r="BN25" s="578" t="s">
        <v>152</v>
      </c>
      <c r="BO25" s="258" t="s">
        <v>145</v>
      </c>
      <c r="BP25" s="209">
        <f t="shared" si="6"/>
        <v>0</v>
      </c>
      <c r="BQ25" s="258" t="s">
        <v>146</v>
      </c>
      <c r="BR25" s="259" t="s">
        <v>145</v>
      </c>
      <c r="BS25" s="258"/>
      <c r="BT25" s="258" t="s">
        <v>146</v>
      </c>
      <c r="BU25" s="259" t="s">
        <v>145</v>
      </c>
      <c r="BV25" s="258"/>
      <c r="BW25" s="258" t="s">
        <v>146</v>
      </c>
      <c r="BX25" s="259" t="s">
        <v>145</v>
      </c>
      <c r="BY25" s="209">
        <f t="shared" si="7"/>
        <v>0</v>
      </c>
      <c r="BZ25" s="258" t="s">
        <v>146</v>
      </c>
      <c r="CA25" s="259" t="s">
        <v>145</v>
      </c>
      <c r="CB25" s="258"/>
      <c r="CC25" s="258" t="s">
        <v>146</v>
      </c>
      <c r="CD25" s="261" t="s">
        <v>145</v>
      </c>
      <c r="CE25" s="209">
        <f t="shared" si="8"/>
        <v>1405.167</v>
      </c>
      <c r="CF25" s="258" t="s">
        <v>146</v>
      </c>
      <c r="CG25" s="259" t="s">
        <v>145</v>
      </c>
      <c r="CH25" s="258">
        <v>1283.667</v>
      </c>
      <c r="CI25" s="258" t="s">
        <v>146</v>
      </c>
      <c r="CJ25" s="259" t="s">
        <v>145</v>
      </c>
      <c r="CK25" s="258"/>
      <c r="CL25" s="258" t="s">
        <v>146</v>
      </c>
      <c r="CM25" s="259" t="s">
        <v>145</v>
      </c>
      <c r="CN25" s="306">
        <f t="shared" si="9"/>
        <v>1283.667</v>
      </c>
      <c r="CO25" s="258" t="s">
        <v>146</v>
      </c>
      <c r="CP25" s="259" t="s">
        <v>145</v>
      </c>
      <c r="CQ25" s="258">
        <v>121.5</v>
      </c>
      <c r="CR25" s="262" t="s">
        <v>146</v>
      </c>
      <c r="CS25" s="209"/>
      <c r="CT25" s="261" t="s">
        <v>145</v>
      </c>
      <c r="CU25" s="209">
        <f t="shared" si="12"/>
        <v>0</v>
      </c>
      <c r="CV25" s="258" t="s">
        <v>146</v>
      </c>
      <c r="CW25" s="259" t="s">
        <v>145</v>
      </c>
      <c r="CX25" s="258"/>
      <c r="CY25" s="258" t="s">
        <v>146</v>
      </c>
      <c r="CZ25" s="259" t="s">
        <v>145</v>
      </c>
      <c r="DA25" s="258"/>
      <c r="DB25" s="258" t="s">
        <v>146</v>
      </c>
      <c r="DC25" s="259" t="s">
        <v>145</v>
      </c>
      <c r="DD25" s="209">
        <f t="shared" si="10"/>
        <v>0</v>
      </c>
      <c r="DE25" s="258" t="s">
        <v>146</v>
      </c>
      <c r="DF25" s="259" t="s">
        <v>145</v>
      </c>
      <c r="DG25" s="258"/>
      <c r="DH25" s="262" t="s">
        <v>146</v>
      </c>
      <c r="DI25" s="655">
        <v>4</v>
      </c>
      <c r="DJ25" s="199"/>
    </row>
    <row r="26" spans="1:114" s="197" customFormat="1" ht="15.75" customHeight="1">
      <c r="A26" s="580"/>
      <c r="B26" s="709"/>
      <c r="C26" s="254"/>
      <c r="D26" s="254">
        <f t="shared" si="1"/>
        <v>0</v>
      </c>
      <c r="E26" s="254"/>
      <c r="F26" s="431"/>
      <c r="G26" s="263"/>
      <c r="H26" s="263"/>
      <c r="I26" s="431"/>
      <c r="J26" s="263"/>
      <c r="K26" s="263"/>
      <c r="L26" s="431"/>
      <c r="M26" s="254">
        <f t="shared" si="2"/>
        <v>0</v>
      </c>
      <c r="N26" s="263"/>
      <c r="O26" s="255"/>
      <c r="P26" s="254"/>
      <c r="Q26" s="254"/>
      <c r="R26" s="264"/>
      <c r="S26" s="305">
        <f t="shared" si="11"/>
        <v>1.0403</v>
      </c>
      <c r="T26" s="254"/>
      <c r="U26" s="255"/>
      <c r="V26" s="254"/>
      <c r="W26" s="254"/>
      <c r="X26" s="255"/>
      <c r="Y26" s="266">
        <f>0.0239</f>
        <v>0.0239</v>
      </c>
      <c r="Z26" s="254"/>
      <c r="AA26" s="255"/>
      <c r="AB26" s="254">
        <f t="shared" si="3"/>
        <v>0.0239</v>
      </c>
      <c r="AC26" s="254"/>
      <c r="AD26" s="255"/>
      <c r="AE26" s="254">
        <v>1.0164</v>
      </c>
      <c r="AF26" s="265"/>
      <c r="AG26" s="209"/>
      <c r="AH26" s="264"/>
      <c r="AI26" s="254">
        <f>AR26+AU26</f>
        <v>144.2397</v>
      </c>
      <c r="AJ26" s="254"/>
      <c r="AK26" s="255"/>
      <c r="AL26" s="254">
        <v>92.2696</v>
      </c>
      <c r="AM26" s="254"/>
      <c r="AN26" s="255"/>
      <c r="AO26" s="254"/>
      <c r="AP26" s="254"/>
      <c r="AQ26" s="255"/>
      <c r="AR26" s="254">
        <f t="shared" si="0"/>
        <v>92.2696</v>
      </c>
      <c r="AS26" s="254"/>
      <c r="AT26" s="255"/>
      <c r="AU26" s="254">
        <v>51.9701</v>
      </c>
      <c r="AV26" s="265"/>
      <c r="AW26" s="264"/>
      <c r="AX26" s="254">
        <f t="shared" si="4"/>
        <v>320.9795</v>
      </c>
      <c r="AY26" s="254"/>
      <c r="AZ26" s="255"/>
      <c r="BA26" s="254">
        <v>297.8146</v>
      </c>
      <c r="BB26" s="254"/>
      <c r="BC26" s="255"/>
      <c r="BD26" s="254"/>
      <c r="BE26" s="254"/>
      <c r="BF26" s="255"/>
      <c r="BG26" s="254">
        <f t="shared" si="5"/>
        <v>297.8146</v>
      </c>
      <c r="BH26" s="254"/>
      <c r="BI26" s="255"/>
      <c r="BJ26" s="254">
        <v>23.1649</v>
      </c>
      <c r="BK26" s="254"/>
      <c r="BL26" s="645"/>
      <c r="BM26" s="580"/>
      <c r="BN26" s="611"/>
      <c r="BO26" s="254"/>
      <c r="BP26" s="254">
        <f t="shared" si="6"/>
        <v>2.0803</v>
      </c>
      <c r="BQ26" s="254"/>
      <c r="BR26" s="255"/>
      <c r="BS26" s="254"/>
      <c r="BT26" s="254"/>
      <c r="BU26" s="255"/>
      <c r="BV26" s="254"/>
      <c r="BW26" s="254"/>
      <c r="BX26" s="255"/>
      <c r="BY26" s="254">
        <f t="shared" si="7"/>
        <v>0</v>
      </c>
      <c r="BZ26" s="254"/>
      <c r="CA26" s="255"/>
      <c r="CB26" s="254">
        <v>2.0803</v>
      </c>
      <c r="CC26" s="254"/>
      <c r="CD26" s="264"/>
      <c r="CE26" s="254">
        <f t="shared" si="8"/>
        <v>79.7044</v>
      </c>
      <c r="CF26" s="254"/>
      <c r="CG26" s="255"/>
      <c r="CH26" s="254">
        <v>79.7044</v>
      </c>
      <c r="CI26" s="254"/>
      <c r="CJ26" s="255"/>
      <c r="CK26" s="254"/>
      <c r="CL26" s="254"/>
      <c r="CM26" s="255"/>
      <c r="CN26" s="308">
        <f t="shared" si="9"/>
        <v>79.7044</v>
      </c>
      <c r="CO26" s="254"/>
      <c r="CP26" s="255"/>
      <c r="CQ26" s="254"/>
      <c r="CR26" s="265"/>
      <c r="CS26" s="209"/>
      <c r="CT26" s="264"/>
      <c r="CU26" s="254">
        <f t="shared" si="12"/>
        <v>0</v>
      </c>
      <c r="CV26" s="254"/>
      <c r="CW26" s="255"/>
      <c r="CX26" s="254"/>
      <c r="CY26" s="254"/>
      <c r="CZ26" s="255"/>
      <c r="DA26" s="254"/>
      <c r="DB26" s="254"/>
      <c r="DC26" s="255"/>
      <c r="DD26" s="254">
        <f t="shared" si="10"/>
        <v>0</v>
      </c>
      <c r="DE26" s="254"/>
      <c r="DF26" s="255"/>
      <c r="DG26" s="254"/>
      <c r="DH26" s="265"/>
      <c r="DI26" s="656"/>
      <c r="DJ26" s="199"/>
    </row>
    <row r="27" spans="1:114" s="197" customFormat="1" ht="15.75" customHeight="1">
      <c r="A27" s="572">
        <v>5</v>
      </c>
      <c r="B27" s="574" t="s">
        <v>153</v>
      </c>
      <c r="C27" s="209" t="s">
        <v>145</v>
      </c>
      <c r="D27" s="209">
        <f t="shared" si="1"/>
        <v>0</v>
      </c>
      <c r="E27" s="209" t="s">
        <v>146</v>
      </c>
      <c r="F27" s="427" t="s">
        <v>145</v>
      </c>
      <c r="G27" s="252"/>
      <c r="H27" s="252" t="s">
        <v>146</v>
      </c>
      <c r="I27" s="427" t="s">
        <v>145</v>
      </c>
      <c r="J27" s="252"/>
      <c r="K27" s="252" t="s">
        <v>146</v>
      </c>
      <c r="L27" s="427" t="s">
        <v>145</v>
      </c>
      <c r="M27" s="209">
        <f t="shared" si="2"/>
        <v>0</v>
      </c>
      <c r="N27" s="252" t="s">
        <v>146</v>
      </c>
      <c r="O27" s="212" t="s">
        <v>145</v>
      </c>
      <c r="P27" s="209"/>
      <c r="Q27" s="209" t="s">
        <v>146</v>
      </c>
      <c r="R27" s="208" t="s">
        <v>145</v>
      </c>
      <c r="S27" s="209">
        <f t="shared" si="11"/>
        <v>0</v>
      </c>
      <c r="T27" s="209" t="s">
        <v>146</v>
      </c>
      <c r="U27" s="212" t="s">
        <v>145</v>
      </c>
      <c r="V27" s="209"/>
      <c r="W27" s="209" t="s">
        <v>146</v>
      </c>
      <c r="X27" s="212" t="s">
        <v>145</v>
      </c>
      <c r="Y27" s="209"/>
      <c r="Z27" s="209" t="s">
        <v>146</v>
      </c>
      <c r="AA27" s="212" t="s">
        <v>145</v>
      </c>
      <c r="AB27" s="209">
        <f t="shared" si="3"/>
        <v>0</v>
      </c>
      <c r="AC27" s="209" t="s">
        <v>146</v>
      </c>
      <c r="AD27" s="212" t="s">
        <v>145</v>
      </c>
      <c r="AE27" s="209"/>
      <c r="AF27" s="211" t="s">
        <v>146</v>
      </c>
      <c r="AG27" s="209"/>
      <c r="AH27" s="208" t="s">
        <v>145</v>
      </c>
      <c r="AI27" s="209"/>
      <c r="AJ27" s="209" t="s">
        <v>146</v>
      </c>
      <c r="AK27" s="212" t="s">
        <v>145</v>
      </c>
      <c r="AL27" s="209"/>
      <c r="AM27" s="209" t="s">
        <v>146</v>
      </c>
      <c r="AN27" s="212" t="s">
        <v>145</v>
      </c>
      <c r="AO27" s="209"/>
      <c r="AP27" s="209" t="s">
        <v>146</v>
      </c>
      <c r="AQ27" s="212" t="s">
        <v>145</v>
      </c>
      <c r="AR27" s="209">
        <f t="shared" si="0"/>
        <v>0</v>
      </c>
      <c r="AS27" s="209" t="s">
        <v>146</v>
      </c>
      <c r="AT27" s="212" t="s">
        <v>145</v>
      </c>
      <c r="AU27" s="209"/>
      <c r="AV27" s="211" t="s">
        <v>146</v>
      </c>
      <c r="AW27" s="208" t="s">
        <v>145</v>
      </c>
      <c r="AX27" s="209">
        <f t="shared" si="4"/>
        <v>0</v>
      </c>
      <c r="AY27" s="209" t="s">
        <v>146</v>
      </c>
      <c r="AZ27" s="212" t="s">
        <v>145</v>
      </c>
      <c r="BA27" s="209"/>
      <c r="BB27" s="209" t="s">
        <v>146</v>
      </c>
      <c r="BC27" s="212" t="s">
        <v>145</v>
      </c>
      <c r="BD27" s="209"/>
      <c r="BE27" s="209" t="s">
        <v>146</v>
      </c>
      <c r="BF27" s="212" t="s">
        <v>145</v>
      </c>
      <c r="BG27" s="209">
        <f t="shared" si="5"/>
        <v>0</v>
      </c>
      <c r="BH27" s="209" t="s">
        <v>146</v>
      </c>
      <c r="BI27" s="212" t="s">
        <v>145</v>
      </c>
      <c r="BJ27" s="209"/>
      <c r="BK27" s="209" t="s">
        <v>146</v>
      </c>
      <c r="BL27" s="653">
        <f>BL25+1</f>
        <v>5</v>
      </c>
      <c r="BM27" s="572">
        <f>BM25+1</f>
        <v>5</v>
      </c>
      <c r="BN27" s="574" t="s">
        <v>153</v>
      </c>
      <c r="BO27" s="209" t="s">
        <v>145</v>
      </c>
      <c r="BP27" s="209">
        <f t="shared" si="6"/>
        <v>0</v>
      </c>
      <c r="BQ27" s="209" t="s">
        <v>146</v>
      </c>
      <c r="BR27" s="212" t="s">
        <v>145</v>
      </c>
      <c r="BS27" s="209"/>
      <c r="BT27" s="209" t="s">
        <v>146</v>
      </c>
      <c r="BU27" s="212" t="s">
        <v>145</v>
      </c>
      <c r="BV27" s="209"/>
      <c r="BW27" s="209" t="s">
        <v>146</v>
      </c>
      <c r="BX27" s="212" t="s">
        <v>145</v>
      </c>
      <c r="BY27" s="209">
        <f t="shared" si="7"/>
        <v>0</v>
      </c>
      <c r="BZ27" s="209" t="s">
        <v>146</v>
      </c>
      <c r="CA27" s="212" t="s">
        <v>145</v>
      </c>
      <c r="CB27" s="209"/>
      <c r="CC27" s="209" t="s">
        <v>146</v>
      </c>
      <c r="CD27" s="208" t="s">
        <v>145</v>
      </c>
      <c r="CE27" s="209">
        <f t="shared" si="8"/>
        <v>0</v>
      </c>
      <c r="CF27" s="209" t="s">
        <v>146</v>
      </c>
      <c r="CG27" s="212" t="s">
        <v>145</v>
      </c>
      <c r="CH27" s="209"/>
      <c r="CI27" s="209" t="s">
        <v>146</v>
      </c>
      <c r="CJ27" s="212" t="s">
        <v>145</v>
      </c>
      <c r="CK27" s="209"/>
      <c r="CL27" s="209" t="s">
        <v>146</v>
      </c>
      <c r="CM27" s="212" t="s">
        <v>145</v>
      </c>
      <c r="CN27" s="306">
        <f t="shared" si="9"/>
        <v>0</v>
      </c>
      <c r="CO27" s="209" t="s">
        <v>146</v>
      </c>
      <c r="CP27" s="212" t="s">
        <v>145</v>
      </c>
      <c r="CQ27" s="209"/>
      <c r="CR27" s="211" t="s">
        <v>146</v>
      </c>
      <c r="CS27" s="209"/>
      <c r="CT27" s="208" t="s">
        <v>145</v>
      </c>
      <c r="CU27" s="209">
        <f t="shared" si="12"/>
        <v>0</v>
      </c>
      <c r="CV27" s="209" t="s">
        <v>146</v>
      </c>
      <c r="CW27" s="212" t="s">
        <v>145</v>
      </c>
      <c r="CX27" s="209"/>
      <c r="CY27" s="209" t="s">
        <v>146</v>
      </c>
      <c r="CZ27" s="212" t="s">
        <v>145</v>
      </c>
      <c r="DA27" s="209"/>
      <c r="DB27" s="209" t="s">
        <v>146</v>
      </c>
      <c r="DC27" s="212" t="s">
        <v>145</v>
      </c>
      <c r="DD27" s="209">
        <f t="shared" si="10"/>
        <v>0</v>
      </c>
      <c r="DE27" s="209" t="s">
        <v>146</v>
      </c>
      <c r="DF27" s="212" t="s">
        <v>145</v>
      </c>
      <c r="DG27" s="209"/>
      <c r="DH27" s="211" t="s">
        <v>146</v>
      </c>
      <c r="DI27" s="650">
        <v>5</v>
      </c>
      <c r="DJ27" s="199"/>
    </row>
    <row r="28" spans="1:114" s="197" customFormat="1" ht="15.75" customHeight="1" thickBot="1">
      <c r="A28" s="572"/>
      <c r="B28" s="574"/>
      <c r="C28" s="209"/>
      <c r="D28" s="217">
        <f t="shared" si="1"/>
        <v>40.8702</v>
      </c>
      <c r="E28" s="209"/>
      <c r="F28" s="427"/>
      <c r="G28" s="280"/>
      <c r="H28" s="280"/>
      <c r="I28" s="432"/>
      <c r="J28" s="280"/>
      <c r="K28" s="280"/>
      <c r="L28" s="432"/>
      <c r="M28" s="217">
        <f t="shared" si="2"/>
        <v>0</v>
      </c>
      <c r="N28" s="280"/>
      <c r="O28" s="218"/>
      <c r="P28" s="217">
        <v>40.8702</v>
      </c>
      <c r="Q28" s="209"/>
      <c r="R28" s="208"/>
      <c r="S28" s="309">
        <f t="shared" si="11"/>
        <v>9.8942</v>
      </c>
      <c r="T28" s="209"/>
      <c r="U28" s="212"/>
      <c r="V28" s="209"/>
      <c r="W28" s="209"/>
      <c r="X28" s="212"/>
      <c r="Y28" s="209"/>
      <c r="Z28" s="209"/>
      <c r="AA28" s="212"/>
      <c r="AB28" s="217">
        <f t="shared" si="3"/>
        <v>0</v>
      </c>
      <c r="AC28" s="209"/>
      <c r="AD28" s="212"/>
      <c r="AE28" s="209">
        <v>9.8942</v>
      </c>
      <c r="AF28" s="211"/>
      <c r="AG28" s="209"/>
      <c r="AH28" s="208"/>
      <c r="AI28" s="209">
        <f>AR28+AU28</f>
        <v>0</v>
      </c>
      <c r="AJ28" s="209"/>
      <c r="AK28" s="212"/>
      <c r="AL28" s="209"/>
      <c r="AM28" s="209"/>
      <c r="AN28" s="212"/>
      <c r="AO28" s="209"/>
      <c r="AP28" s="209"/>
      <c r="AQ28" s="212"/>
      <c r="AR28" s="217">
        <f t="shared" si="0"/>
        <v>0</v>
      </c>
      <c r="AS28" s="209"/>
      <c r="AT28" s="212"/>
      <c r="AU28" s="209"/>
      <c r="AV28" s="211"/>
      <c r="AW28" s="208"/>
      <c r="AX28" s="217">
        <f t="shared" si="4"/>
        <v>0</v>
      </c>
      <c r="AY28" s="209"/>
      <c r="AZ28" s="212"/>
      <c r="BA28" s="209"/>
      <c r="BB28" s="209"/>
      <c r="BC28" s="212"/>
      <c r="BD28" s="209"/>
      <c r="BE28" s="209"/>
      <c r="BF28" s="212"/>
      <c r="BG28" s="217">
        <f t="shared" si="5"/>
        <v>0</v>
      </c>
      <c r="BH28" s="209"/>
      <c r="BI28" s="212"/>
      <c r="BJ28" s="209"/>
      <c r="BK28" s="209"/>
      <c r="BL28" s="653"/>
      <c r="BM28" s="572"/>
      <c r="BN28" s="574"/>
      <c r="BO28" s="209"/>
      <c r="BP28" s="217">
        <f t="shared" si="6"/>
        <v>0</v>
      </c>
      <c r="BQ28" s="209"/>
      <c r="BR28" s="212"/>
      <c r="BS28" s="209"/>
      <c r="BT28" s="209"/>
      <c r="BU28" s="212"/>
      <c r="BV28" s="209"/>
      <c r="BW28" s="209"/>
      <c r="BX28" s="212"/>
      <c r="BY28" s="209">
        <f t="shared" si="7"/>
        <v>0</v>
      </c>
      <c r="BZ28" s="209"/>
      <c r="CA28" s="212"/>
      <c r="CB28" s="209"/>
      <c r="CC28" s="209"/>
      <c r="CD28" s="208"/>
      <c r="CE28" s="209">
        <f t="shared" si="8"/>
        <v>0</v>
      </c>
      <c r="CF28" s="209"/>
      <c r="CG28" s="212"/>
      <c r="CH28" s="209"/>
      <c r="CI28" s="209"/>
      <c r="CJ28" s="212"/>
      <c r="CK28" s="209"/>
      <c r="CL28" s="209"/>
      <c r="CM28" s="212"/>
      <c r="CN28" s="306">
        <f t="shared" si="9"/>
        <v>0</v>
      </c>
      <c r="CO28" s="209"/>
      <c r="CP28" s="212"/>
      <c r="CQ28" s="209"/>
      <c r="CR28" s="211"/>
      <c r="CS28" s="209"/>
      <c r="CT28" s="208"/>
      <c r="CU28" s="217">
        <f t="shared" si="12"/>
        <v>0</v>
      </c>
      <c r="CV28" s="209"/>
      <c r="CW28" s="212"/>
      <c r="CX28" s="209"/>
      <c r="CY28" s="209"/>
      <c r="CZ28" s="212"/>
      <c r="DA28" s="209"/>
      <c r="DB28" s="209"/>
      <c r="DC28" s="212"/>
      <c r="DD28" s="217">
        <f t="shared" si="10"/>
        <v>0</v>
      </c>
      <c r="DE28" s="209"/>
      <c r="DF28" s="212"/>
      <c r="DG28" s="209"/>
      <c r="DH28" s="211"/>
      <c r="DI28" s="650"/>
      <c r="DJ28" s="199"/>
    </row>
    <row r="29" spans="1:114" s="245" customFormat="1" ht="15.75" customHeight="1">
      <c r="A29" s="569" t="s">
        <v>17</v>
      </c>
      <c r="B29" s="575"/>
      <c r="C29" s="227" t="s">
        <v>314</v>
      </c>
      <c r="D29" s="220">
        <f>D31</f>
        <v>0</v>
      </c>
      <c r="E29" s="230" t="s">
        <v>315</v>
      </c>
      <c r="F29" s="232" t="s">
        <v>314</v>
      </c>
      <c r="G29" s="220">
        <f>G31</f>
        <v>0</v>
      </c>
      <c r="H29" s="222" t="s">
        <v>315</v>
      </c>
      <c r="I29" s="220" t="s">
        <v>314</v>
      </c>
      <c r="J29" s="220">
        <f>J31</f>
        <v>0</v>
      </c>
      <c r="K29" s="220" t="s">
        <v>315</v>
      </c>
      <c r="L29" s="221" t="s">
        <v>314</v>
      </c>
      <c r="M29" s="220">
        <f>M31</f>
        <v>0</v>
      </c>
      <c r="N29" s="220" t="s">
        <v>315</v>
      </c>
      <c r="O29" s="223" t="s">
        <v>314</v>
      </c>
      <c r="P29" s="220">
        <f>P31</f>
        <v>0</v>
      </c>
      <c r="Q29" s="426" t="s">
        <v>315</v>
      </c>
      <c r="R29" s="227" t="s">
        <v>314</v>
      </c>
      <c r="S29" s="220"/>
      <c r="T29" s="230" t="s">
        <v>315</v>
      </c>
      <c r="U29" s="232" t="s">
        <v>314</v>
      </c>
      <c r="V29" s="230"/>
      <c r="W29" s="231" t="s">
        <v>315</v>
      </c>
      <c r="X29" s="230" t="s">
        <v>314</v>
      </c>
      <c r="Y29" s="230">
        <f>Y31</f>
        <v>0</v>
      </c>
      <c r="Z29" s="230" t="s">
        <v>315</v>
      </c>
      <c r="AA29" s="232" t="s">
        <v>314</v>
      </c>
      <c r="AB29" s="220"/>
      <c r="AC29" s="230" t="s">
        <v>315</v>
      </c>
      <c r="AD29" s="233" t="s">
        <v>314</v>
      </c>
      <c r="AE29" s="230"/>
      <c r="AF29" s="234" t="s">
        <v>315</v>
      </c>
      <c r="AG29" s="224"/>
      <c r="AH29" s="227" t="s">
        <v>314</v>
      </c>
      <c r="AI29" s="230">
        <f>AI31</f>
        <v>0</v>
      </c>
      <c r="AJ29" s="230" t="s">
        <v>315</v>
      </c>
      <c r="AK29" s="232" t="s">
        <v>314</v>
      </c>
      <c r="AL29" s="230">
        <f>AL31</f>
        <v>0</v>
      </c>
      <c r="AM29" s="231" t="s">
        <v>315</v>
      </c>
      <c r="AN29" s="230" t="s">
        <v>314</v>
      </c>
      <c r="AO29" s="230"/>
      <c r="AP29" s="230" t="s">
        <v>315</v>
      </c>
      <c r="AQ29" s="232" t="s">
        <v>314</v>
      </c>
      <c r="AR29" s="220">
        <f t="shared" si="0"/>
        <v>0</v>
      </c>
      <c r="AS29" s="230" t="s">
        <v>315</v>
      </c>
      <c r="AT29" s="233" t="s">
        <v>314</v>
      </c>
      <c r="AU29" s="230"/>
      <c r="AV29" s="234" t="s">
        <v>315</v>
      </c>
      <c r="AW29" s="227" t="s">
        <v>314</v>
      </c>
      <c r="AX29" s="220"/>
      <c r="AY29" s="230" t="s">
        <v>315</v>
      </c>
      <c r="AZ29" s="232" t="s">
        <v>314</v>
      </c>
      <c r="BA29" s="230"/>
      <c r="BB29" s="231" t="s">
        <v>315</v>
      </c>
      <c r="BC29" s="230" t="s">
        <v>314</v>
      </c>
      <c r="BD29" s="230"/>
      <c r="BE29" s="230" t="s">
        <v>315</v>
      </c>
      <c r="BF29" s="232" t="s">
        <v>314</v>
      </c>
      <c r="BG29" s="220"/>
      <c r="BH29" s="230" t="s">
        <v>315</v>
      </c>
      <c r="BI29" s="233" t="s">
        <v>314</v>
      </c>
      <c r="BJ29" s="230"/>
      <c r="BK29" s="426" t="s">
        <v>315</v>
      </c>
      <c r="BL29" s="235"/>
      <c r="BM29" s="569" t="s">
        <v>17</v>
      </c>
      <c r="BN29" s="575"/>
      <c r="BO29" s="227" t="s">
        <v>314</v>
      </c>
      <c r="BP29" s="220"/>
      <c r="BQ29" s="230" t="s">
        <v>315</v>
      </c>
      <c r="BR29" s="232" t="s">
        <v>314</v>
      </c>
      <c r="BS29" s="230"/>
      <c r="BT29" s="231" t="s">
        <v>315</v>
      </c>
      <c r="BU29" s="230" t="s">
        <v>314</v>
      </c>
      <c r="BV29" s="230"/>
      <c r="BW29" s="230" t="s">
        <v>315</v>
      </c>
      <c r="BX29" s="232" t="s">
        <v>314</v>
      </c>
      <c r="BY29" s="230"/>
      <c r="BZ29" s="230" t="s">
        <v>315</v>
      </c>
      <c r="CA29" s="233" t="s">
        <v>314</v>
      </c>
      <c r="CB29" s="230"/>
      <c r="CC29" s="426" t="s">
        <v>315</v>
      </c>
      <c r="CD29" s="227" t="s">
        <v>314</v>
      </c>
      <c r="CE29" s="230">
        <f t="shared" si="8"/>
        <v>3519.8179999999998</v>
      </c>
      <c r="CF29" s="230" t="s">
        <v>315</v>
      </c>
      <c r="CG29" s="232" t="s">
        <v>314</v>
      </c>
      <c r="CH29" s="230">
        <f>CH31</f>
        <v>2968.843</v>
      </c>
      <c r="CI29" s="231" t="s">
        <v>315</v>
      </c>
      <c r="CJ29" s="230" t="s">
        <v>314</v>
      </c>
      <c r="CK29" s="230">
        <f>CK31</f>
        <v>0</v>
      </c>
      <c r="CL29" s="230" t="s">
        <v>315</v>
      </c>
      <c r="CM29" s="232" t="s">
        <v>314</v>
      </c>
      <c r="CN29" s="230">
        <f t="shared" si="9"/>
        <v>2968.843</v>
      </c>
      <c r="CO29" s="230" t="s">
        <v>315</v>
      </c>
      <c r="CP29" s="233" t="s">
        <v>314</v>
      </c>
      <c r="CQ29" s="230">
        <f>CQ31</f>
        <v>550.975</v>
      </c>
      <c r="CR29" s="234" t="s">
        <v>315</v>
      </c>
      <c r="CS29" s="224"/>
      <c r="CT29" s="227" t="s">
        <v>314</v>
      </c>
      <c r="CU29" s="220"/>
      <c r="CV29" s="230" t="s">
        <v>315</v>
      </c>
      <c r="CW29" s="232" t="s">
        <v>314</v>
      </c>
      <c r="CX29" s="230"/>
      <c r="CY29" s="231" t="s">
        <v>315</v>
      </c>
      <c r="CZ29" s="230" t="s">
        <v>314</v>
      </c>
      <c r="DA29" s="230"/>
      <c r="DB29" s="230" t="s">
        <v>315</v>
      </c>
      <c r="DC29" s="232" t="s">
        <v>314</v>
      </c>
      <c r="DD29" s="220"/>
      <c r="DE29" s="230" t="s">
        <v>315</v>
      </c>
      <c r="DF29" s="233" t="s">
        <v>314</v>
      </c>
      <c r="DG29" s="230"/>
      <c r="DH29" s="234" t="s">
        <v>315</v>
      </c>
      <c r="DI29" s="300"/>
      <c r="DJ29" s="228"/>
    </row>
    <row r="30" spans="1:114" s="245" customFormat="1" ht="15.75" customHeight="1" thickBot="1">
      <c r="A30" s="576"/>
      <c r="B30" s="577"/>
      <c r="C30" s="225"/>
      <c r="D30" s="237">
        <f>D32</f>
        <v>64.88921599999999</v>
      </c>
      <c r="E30" s="220"/>
      <c r="F30" s="221"/>
      <c r="G30" s="237">
        <f>G32</f>
        <v>0</v>
      </c>
      <c r="H30" s="222"/>
      <c r="I30" s="220"/>
      <c r="J30" s="237">
        <f>J32</f>
        <v>0.037516</v>
      </c>
      <c r="K30" s="220"/>
      <c r="L30" s="221"/>
      <c r="M30" s="237">
        <f>M32</f>
        <v>0.037516</v>
      </c>
      <c r="N30" s="220"/>
      <c r="O30" s="223"/>
      <c r="P30" s="237">
        <f>P32</f>
        <v>64.8517</v>
      </c>
      <c r="Q30" s="224"/>
      <c r="R30" s="225"/>
      <c r="S30" s="310">
        <f>S32</f>
        <v>0</v>
      </c>
      <c r="T30" s="220"/>
      <c r="U30" s="221"/>
      <c r="V30" s="220"/>
      <c r="W30" s="222"/>
      <c r="X30" s="220"/>
      <c r="Y30" s="220">
        <f>Y32</f>
        <v>0</v>
      </c>
      <c r="Z30" s="220"/>
      <c r="AA30" s="221"/>
      <c r="AB30" s="237"/>
      <c r="AC30" s="220"/>
      <c r="AD30" s="223"/>
      <c r="AE30" s="311">
        <f>AE32</f>
        <v>0</v>
      </c>
      <c r="AF30" s="242"/>
      <c r="AG30" s="224"/>
      <c r="AH30" s="225"/>
      <c r="AI30" s="237">
        <f>AI32</f>
        <v>226.7258</v>
      </c>
      <c r="AJ30" s="220"/>
      <c r="AK30" s="221"/>
      <c r="AL30" s="220">
        <f>AL32</f>
        <v>62.892399999999995</v>
      </c>
      <c r="AM30" s="222"/>
      <c r="AN30" s="220"/>
      <c r="AO30" s="220"/>
      <c r="AP30" s="220"/>
      <c r="AQ30" s="221"/>
      <c r="AR30" s="237">
        <f t="shared" si="0"/>
        <v>62.892399999999995</v>
      </c>
      <c r="AS30" s="220"/>
      <c r="AT30" s="223"/>
      <c r="AU30" s="220">
        <f>AU32</f>
        <v>163.8334</v>
      </c>
      <c r="AV30" s="242"/>
      <c r="AW30" s="225"/>
      <c r="AX30" s="237"/>
      <c r="AY30" s="220"/>
      <c r="AZ30" s="221"/>
      <c r="BA30" s="220"/>
      <c r="BB30" s="222"/>
      <c r="BC30" s="220"/>
      <c r="BD30" s="220"/>
      <c r="BE30" s="220"/>
      <c r="BF30" s="221"/>
      <c r="BG30" s="237"/>
      <c r="BH30" s="220"/>
      <c r="BI30" s="223"/>
      <c r="BJ30" s="220"/>
      <c r="BK30" s="224"/>
      <c r="BL30" s="243"/>
      <c r="BM30" s="576"/>
      <c r="BN30" s="577"/>
      <c r="BO30" s="225"/>
      <c r="BP30" s="237">
        <f>BP32</f>
        <v>20.3749</v>
      </c>
      <c r="BQ30" s="220"/>
      <c r="BR30" s="221"/>
      <c r="BS30" s="220">
        <v>4.5838</v>
      </c>
      <c r="BT30" s="222"/>
      <c r="BU30" s="220"/>
      <c r="BV30" s="220"/>
      <c r="BW30" s="220"/>
      <c r="BX30" s="221"/>
      <c r="BY30" s="237">
        <v>5</v>
      </c>
      <c r="BZ30" s="220"/>
      <c r="CA30" s="223"/>
      <c r="CB30" s="220">
        <f>CB32</f>
        <v>15.7911</v>
      </c>
      <c r="CC30" s="224"/>
      <c r="CD30" s="225"/>
      <c r="CE30" s="237">
        <f>CE32</f>
        <v>160.3703</v>
      </c>
      <c r="CF30" s="220"/>
      <c r="CG30" s="221"/>
      <c r="CH30" s="220">
        <v>160.3703</v>
      </c>
      <c r="CI30" s="222"/>
      <c r="CJ30" s="220"/>
      <c r="CK30" s="220">
        <f>CK32</f>
        <v>0</v>
      </c>
      <c r="CL30" s="220"/>
      <c r="CM30" s="221"/>
      <c r="CN30" s="237">
        <f t="shared" si="9"/>
        <v>160.3703</v>
      </c>
      <c r="CO30" s="220"/>
      <c r="CP30" s="223"/>
      <c r="CQ30" s="220">
        <f>CQ32</f>
        <v>0</v>
      </c>
      <c r="CR30" s="242"/>
      <c r="CS30" s="224"/>
      <c r="CT30" s="225"/>
      <c r="CU30" s="237">
        <f>DD30+DG30</f>
        <v>128</v>
      </c>
      <c r="CV30" s="220"/>
      <c r="CW30" s="221"/>
      <c r="CX30" s="220">
        <v>128.0269</v>
      </c>
      <c r="CY30" s="222"/>
      <c r="CZ30" s="220"/>
      <c r="DA30" s="220"/>
      <c r="DB30" s="220"/>
      <c r="DC30" s="221"/>
      <c r="DD30" s="237">
        <v>128</v>
      </c>
      <c r="DE30" s="220"/>
      <c r="DF30" s="223"/>
      <c r="DG30" s="220"/>
      <c r="DH30" s="242"/>
      <c r="DI30" s="301"/>
      <c r="DJ30" s="228"/>
    </row>
    <row r="31" spans="1:114" s="245" customFormat="1" ht="15.75" customHeight="1">
      <c r="A31" s="569"/>
      <c r="B31" s="568" t="s">
        <v>154</v>
      </c>
      <c r="C31" s="271" t="s">
        <v>145</v>
      </c>
      <c r="D31" s="220">
        <f aca="true" t="shared" si="13" ref="D31:D66">M31+P31</f>
        <v>0</v>
      </c>
      <c r="E31" s="230" t="s">
        <v>146</v>
      </c>
      <c r="F31" s="232" t="s">
        <v>145</v>
      </c>
      <c r="G31" s="230">
        <f>G33+G35+G37+G39+G41+G43+G45</f>
        <v>0</v>
      </c>
      <c r="H31" s="231" t="s">
        <v>146</v>
      </c>
      <c r="I31" s="230" t="s">
        <v>145</v>
      </c>
      <c r="J31" s="230">
        <f>J33+J35+J37+J39+J41+J43+J45</f>
        <v>0</v>
      </c>
      <c r="K31" s="230" t="s">
        <v>146</v>
      </c>
      <c r="L31" s="232" t="s">
        <v>145</v>
      </c>
      <c r="M31" s="220">
        <f aca="true" t="shared" si="14" ref="M31:M66">G31+J31</f>
        <v>0</v>
      </c>
      <c r="N31" s="230" t="s">
        <v>146</v>
      </c>
      <c r="O31" s="233" t="s">
        <v>145</v>
      </c>
      <c r="P31" s="230">
        <f>P33+P35+P37+P39+P41+P43+P45</f>
        <v>0</v>
      </c>
      <c r="Q31" s="426" t="s">
        <v>146</v>
      </c>
      <c r="R31" s="229" t="s">
        <v>145</v>
      </c>
      <c r="S31" s="220"/>
      <c r="T31" s="230" t="s">
        <v>146</v>
      </c>
      <c r="U31" s="232" t="s">
        <v>145</v>
      </c>
      <c r="V31" s="230">
        <f>V33+V35+V37+V39+V41+V43+V45</f>
        <v>0</v>
      </c>
      <c r="W31" s="231" t="s">
        <v>146</v>
      </c>
      <c r="X31" s="230" t="s">
        <v>145</v>
      </c>
      <c r="Y31" s="230">
        <f>Y33+Y35+Y37+Y39+Y41+Y43+Y45</f>
        <v>0</v>
      </c>
      <c r="Z31" s="230" t="s">
        <v>146</v>
      </c>
      <c r="AA31" s="232" t="s">
        <v>145</v>
      </c>
      <c r="AB31" s="220">
        <f aca="true" t="shared" si="15" ref="AB31:AB66">V31+Y31</f>
        <v>0</v>
      </c>
      <c r="AC31" s="230" t="s">
        <v>146</v>
      </c>
      <c r="AD31" s="233" t="s">
        <v>145</v>
      </c>
      <c r="AE31" s="230">
        <f>AE33+AE35+AE37+AE39+AE41+AE43+AE45</f>
        <v>0</v>
      </c>
      <c r="AF31" s="234" t="s">
        <v>146</v>
      </c>
      <c r="AG31" s="224"/>
      <c r="AH31" s="229" t="s">
        <v>145</v>
      </c>
      <c r="AI31" s="220">
        <f aca="true" t="shared" si="16" ref="AI31:AI66">AR31+AU31</f>
        <v>0</v>
      </c>
      <c r="AJ31" s="230" t="s">
        <v>146</v>
      </c>
      <c r="AK31" s="232" t="s">
        <v>145</v>
      </c>
      <c r="AL31" s="230">
        <f>AL33+AL35+AL37+AL39+AL41+AL43+AL45</f>
        <v>0</v>
      </c>
      <c r="AM31" s="231" t="s">
        <v>146</v>
      </c>
      <c r="AN31" s="230" t="s">
        <v>145</v>
      </c>
      <c r="AO31" s="230">
        <f>AO33+AO35+AO37+AO39+AO41+AO43+AO45</f>
        <v>0</v>
      </c>
      <c r="AP31" s="230" t="s">
        <v>146</v>
      </c>
      <c r="AQ31" s="232" t="s">
        <v>145</v>
      </c>
      <c r="AR31" s="220">
        <f t="shared" si="0"/>
        <v>0</v>
      </c>
      <c r="AS31" s="230" t="s">
        <v>146</v>
      </c>
      <c r="AT31" s="233" t="s">
        <v>145</v>
      </c>
      <c r="AU31" s="230">
        <f>AU33+AU35+AU37+AU39+AU41+AU43+AU45</f>
        <v>0</v>
      </c>
      <c r="AV31" s="234" t="s">
        <v>146</v>
      </c>
      <c r="AW31" s="229" t="s">
        <v>145</v>
      </c>
      <c r="AX31" s="220">
        <f aca="true" t="shared" si="17" ref="AX31:AX66">BG31+BJ31</f>
        <v>0</v>
      </c>
      <c r="AY31" s="230" t="s">
        <v>146</v>
      </c>
      <c r="AZ31" s="232" t="s">
        <v>145</v>
      </c>
      <c r="BA31" s="230">
        <f>BA33+BA35+BA37+BA39+BA41+BA43+BA45</f>
        <v>0</v>
      </c>
      <c r="BB31" s="231" t="s">
        <v>146</v>
      </c>
      <c r="BC31" s="230" t="s">
        <v>145</v>
      </c>
      <c r="BD31" s="230">
        <f>BD33+BD35+BD37+BD39+BD41+BD43+BD45</f>
        <v>0</v>
      </c>
      <c r="BE31" s="230" t="s">
        <v>146</v>
      </c>
      <c r="BF31" s="232" t="s">
        <v>145</v>
      </c>
      <c r="BG31" s="220">
        <f aca="true" t="shared" si="18" ref="BG31:BG66">BA31+BD31</f>
        <v>0</v>
      </c>
      <c r="BH31" s="230" t="s">
        <v>146</v>
      </c>
      <c r="BI31" s="233" t="s">
        <v>145</v>
      </c>
      <c r="BJ31" s="230">
        <f>BJ33+BJ35+BJ37+BJ39+BJ41+BJ43+BJ45</f>
        <v>0</v>
      </c>
      <c r="BK31" s="426" t="s">
        <v>146</v>
      </c>
      <c r="BL31" s="300"/>
      <c r="BM31" s="569"/>
      <c r="BN31" s="568" t="s">
        <v>154</v>
      </c>
      <c r="BO31" s="271" t="s">
        <v>145</v>
      </c>
      <c r="BP31" s="220"/>
      <c r="BQ31" s="230" t="s">
        <v>146</v>
      </c>
      <c r="BR31" s="232" t="s">
        <v>145</v>
      </c>
      <c r="BS31" s="230">
        <f>BS33+BS35+BS37+BS39+BS41+BS43+BS45</f>
        <v>0</v>
      </c>
      <c r="BT31" s="231" t="s">
        <v>146</v>
      </c>
      <c r="BU31" s="230" t="s">
        <v>145</v>
      </c>
      <c r="BV31" s="230">
        <f>BV33+BV35+BV37+BV39+BV41+BV43+BV45</f>
        <v>0</v>
      </c>
      <c r="BW31" s="230" t="s">
        <v>146</v>
      </c>
      <c r="BX31" s="232" t="s">
        <v>145</v>
      </c>
      <c r="BY31" s="220">
        <f aca="true" t="shared" si="19" ref="BY31:BY66">BS31+BV31</f>
        <v>0</v>
      </c>
      <c r="BZ31" s="230" t="s">
        <v>146</v>
      </c>
      <c r="CA31" s="233" t="s">
        <v>145</v>
      </c>
      <c r="CB31" s="230">
        <f>CB33+CB35+CB37+CB39+CB41+CB43+CB45</f>
        <v>0</v>
      </c>
      <c r="CC31" s="426" t="s">
        <v>146</v>
      </c>
      <c r="CD31" s="229" t="s">
        <v>145</v>
      </c>
      <c r="CE31" s="220">
        <f>CE33+CE35+CE37+CE39+CE41+CE43+CE45</f>
        <v>3519.818</v>
      </c>
      <c r="CF31" s="230" t="s">
        <v>146</v>
      </c>
      <c r="CG31" s="232" t="s">
        <v>145</v>
      </c>
      <c r="CH31" s="230">
        <f>CH33+CH35+CH37+CH39+CH41+CH43+CH45</f>
        <v>2968.843</v>
      </c>
      <c r="CI31" s="231" t="s">
        <v>146</v>
      </c>
      <c r="CJ31" s="230" t="s">
        <v>145</v>
      </c>
      <c r="CK31" s="230">
        <f>CK33+CK35+CK37+CK39+CK41+CK43+CK45</f>
        <v>0</v>
      </c>
      <c r="CL31" s="230" t="s">
        <v>146</v>
      </c>
      <c r="CM31" s="232" t="s">
        <v>145</v>
      </c>
      <c r="CN31" s="220">
        <f t="shared" si="9"/>
        <v>2968.843</v>
      </c>
      <c r="CO31" s="230" t="s">
        <v>146</v>
      </c>
      <c r="CP31" s="233" t="s">
        <v>145</v>
      </c>
      <c r="CQ31" s="230">
        <f>CQ33+CQ35+CQ37+CQ39+CQ41+CQ43+CQ45</f>
        <v>550.975</v>
      </c>
      <c r="CR31" s="234" t="s">
        <v>146</v>
      </c>
      <c r="CS31" s="224"/>
      <c r="CT31" s="229" t="s">
        <v>145</v>
      </c>
      <c r="CU31" s="220"/>
      <c r="CV31" s="230" t="s">
        <v>146</v>
      </c>
      <c r="CW31" s="232" t="s">
        <v>145</v>
      </c>
      <c r="CX31" s="230">
        <f>CX33+CX35+CX37+CX39+CX41+CX43+CX45</f>
        <v>0</v>
      </c>
      <c r="CY31" s="231" t="s">
        <v>146</v>
      </c>
      <c r="CZ31" s="230" t="s">
        <v>145</v>
      </c>
      <c r="DA31" s="230">
        <f>DA33+DA35+DA37+DA39+DA41+DA43+DA45</f>
        <v>0</v>
      </c>
      <c r="DB31" s="230" t="s">
        <v>146</v>
      </c>
      <c r="DC31" s="232" t="s">
        <v>145</v>
      </c>
      <c r="DD31" s="220">
        <f aca="true" t="shared" si="20" ref="DD31:DD66">CX31+DA31</f>
        <v>0</v>
      </c>
      <c r="DE31" s="230" t="s">
        <v>146</v>
      </c>
      <c r="DF31" s="233" t="s">
        <v>145</v>
      </c>
      <c r="DG31" s="230">
        <f>DG33+DG35+DG37+DG39+DG41+DG43+DG45</f>
        <v>0</v>
      </c>
      <c r="DH31" s="234" t="s">
        <v>146</v>
      </c>
      <c r="DI31" s="300"/>
      <c r="DJ31" s="228"/>
    </row>
    <row r="32" spans="1:114" s="245" customFormat="1" ht="15.75" customHeight="1" thickBot="1">
      <c r="A32" s="651"/>
      <c r="B32" s="652"/>
      <c r="C32" s="236"/>
      <c r="D32" s="237">
        <f t="shared" si="13"/>
        <v>64.88921599999999</v>
      </c>
      <c r="E32" s="237"/>
      <c r="F32" s="238"/>
      <c r="G32" s="237">
        <f>G34+G36+G38+G40+G42+G44+G46</f>
        <v>0</v>
      </c>
      <c r="H32" s="239"/>
      <c r="I32" s="237"/>
      <c r="J32" s="248">
        <f>J34+J36+J38+J40+J42+J44+J46</f>
        <v>0.037516</v>
      </c>
      <c r="K32" s="237"/>
      <c r="L32" s="238"/>
      <c r="M32" s="237">
        <f t="shared" si="14"/>
        <v>0.037516</v>
      </c>
      <c r="N32" s="237"/>
      <c r="O32" s="240"/>
      <c r="P32" s="237">
        <f>P34+P36+P38+P40+P42+P44+P46</f>
        <v>64.8517</v>
      </c>
      <c r="Q32" s="241"/>
      <c r="R32" s="246"/>
      <c r="S32" s="310"/>
      <c r="T32" s="237"/>
      <c r="U32" s="238"/>
      <c r="V32" s="310">
        <f>V34+V36+V38+V40+V42+V44+V46</f>
        <v>0</v>
      </c>
      <c r="W32" s="239"/>
      <c r="X32" s="237"/>
      <c r="Y32" s="310">
        <f>Y34+Y36+Y38+Y40+Y42+Y44+Y46</f>
        <v>0</v>
      </c>
      <c r="Z32" s="237"/>
      <c r="AA32" s="238"/>
      <c r="AB32" s="237">
        <f t="shared" si="15"/>
        <v>0</v>
      </c>
      <c r="AC32" s="237"/>
      <c r="AD32" s="240"/>
      <c r="AE32" s="310">
        <f>AE34+AE36+AE38+AE40+AE42+AE44+AE46</f>
        <v>0</v>
      </c>
      <c r="AF32" s="247"/>
      <c r="AG32" s="224"/>
      <c r="AH32" s="246"/>
      <c r="AI32" s="237">
        <f t="shared" si="16"/>
        <v>226.7258</v>
      </c>
      <c r="AJ32" s="237"/>
      <c r="AK32" s="238"/>
      <c r="AL32" s="237">
        <f>AL34+AL36+AL38+AL40+AL42+AL44+AL46</f>
        <v>62.892399999999995</v>
      </c>
      <c r="AM32" s="239"/>
      <c r="AN32" s="237"/>
      <c r="AO32" s="237">
        <f>AO34+AO36+AO38+AO40+AO42+AO44+AO46</f>
        <v>0</v>
      </c>
      <c r="AP32" s="237"/>
      <c r="AQ32" s="238"/>
      <c r="AR32" s="237">
        <f t="shared" si="0"/>
        <v>62.892399999999995</v>
      </c>
      <c r="AS32" s="237"/>
      <c r="AT32" s="240"/>
      <c r="AU32" s="237">
        <f>AU34+AU36+AU38+AU40+AU42+AU44+AU46</f>
        <v>163.8334</v>
      </c>
      <c r="AV32" s="247"/>
      <c r="AW32" s="246"/>
      <c r="AX32" s="237">
        <f t="shared" si="17"/>
        <v>0</v>
      </c>
      <c r="AY32" s="237"/>
      <c r="AZ32" s="238"/>
      <c r="BA32" s="237">
        <f>BA34+BA36+BA38+BA40+BA42+BA44+BA46</f>
        <v>0</v>
      </c>
      <c r="BB32" s="239"/>
      <c r="BC32" s="237"/>
      <c r="BD32" s="237">
        <f>BD34+BD36+BD38+BD40+BD42+BD44+BD46</f>
        <v>0</v>
      </c>
      <c r="BE32" s="237"/>
      <c r="BF32" s="238"/>
      <c r="BG32" s="237">
        <f t="shared" si="18"/>
        <v>0</v>
      </c>
      <c r="BH32" s="237"/>
      <c r="BI32" s="240"/>
      <c r="BJ32" s="237">
        <f>BJ34+BJ36+BJ38+BJ40+BJ42+BJ44+BJ46</f>
        <v>0</v>
      </c>
      <c r="BK32" s="241"/>
      <c r="BL32" s="304"/>
      <c r="BM32" s="651"/>
      <c r="BN32" s="652"/>
      <c r="BO32" s="236"/>
      <c r="BP32" s="237">
        <f aca="true" t="shared" si="21" ref="BP32:BP66">BY32+CB32</f>
        <v>20.3749</v>
      </c>
      <c r="BQ32" s="237"/>
      <c r="BR32" s="238"/>
      <c r="BS32" s="237">
        <f>BS34+BS36+BS38+BS40+BS42+BS44+BS46</f>
        <v>4.5838</v>
      </c>
      <c r="BT32" s="239"/>
      <c r="BU32" s="237"/>
      <c r="BV32" s="237">
        <f>BV34+BV36+BV38+BV40+BV42+BV44+BV46</f>
        <v>0</v>
      </c>
      <c r="BW32" s="237"/>
      <c r="BX32" s="238"/>
      <c r="BY32" s="237">
        <f t="shared" si="19"/>
        <v>4.5838</v>
      </c>
      <c r="BZ32" s="237"/>
      <c r="CA32" s="240"/>
      <c r="CB32" s="237">
        <f>CB34+CB36+CB38+CB40+CB42+CB44+CB46</f>
        <v>15.7911</v>
      </c>
      <c r="CC32" s="241"/>
      <c r="CD32" s="246"/>
      <c r="CE32" s="237">
        <f aca="true" t="shared" si="22" ref="CE32:CE66">CN32+CQ32</f>
        <v>160.3703</v>
      </c>
      <c r="CF32" s="237"/>
      <c r="CG32" s="238"/>
      <c r="CH32" s="237">
        <f>CH34+CH36+CH38+CH40+CH42+CH44+CH46</f>
        <v>160.3703</v>
      </c>
      <c r="CI32" s="239"/>
      <c r="CJ32" s="237"/>
      <c r="CK32" s="237">
        <f>CK34+CK36+CK38+CK40+CK42+CK44+CK46</f>
        <v>0</v>
      </c>
      <c r="CL32" s="237"/>
      <c r="CM32" s="238"/>
      <c r="CN32" s="237">
        <f t="shared" si="9"/>
        <v>160.3703</v>
      </c>
      <c r="CO32" s="237"/>
      <c r="CP32" s="240"/>
      <c r="CQ32" s="237">
        <f>CQ34+CQ36+CQ38+CQ40+CQ42+CQ44+CQ46</f>
        <v>0</v>
      </c>
      <c r="CR32" s="247"/>
      <c r="CS32" s="224"/>
      <c r="CT32" s="246"/>
      <c r="CU32" s="237">
        <f aca="true" t="shared" si="23" ref="CU32:CU66">DD32+DG32</f>
        <v>128.0269</v>
      </c>
      <c r="CV32" s="237"/>
      <c r="CW32" s="238"/>
      <c r="CX32" s="237">
        <f>CX34+CX36+CX38+CX40+CX42+CX44+CX46</f>
        <v>128.0269</v>
      </c>
      <c r="CY32" s="239"/>
      <c r="CZ32" s="237"/>
      <c r="DA32" s="237">
        <f>DA34+DA36+DA38+DA40+DA42+DA44+DA46</f>
        <v>0</v>
      </c>
      <c r="DB32" s="237"/>
      <c r="DC32" s="238"/>
      <c r="DD32" s="237">
        <f t="shared" si="20"/>
        <v>128.0269</v>
      </c>
      <c r="DE32" s="237"/>
      <c r="DF32" s="240"/>
      <c r="DG32" s="237">
        <f>DG34+DG36+DG38+DG40+DG42+DG44+DG46</f>
        <v>0</v>
      </c>
      <c r="DH32" s="247"/>
      <c r="DI32" s="304"/>
      <c r="DJ32" s="228"/>
    </row>
    <row r="33" spans="1:114" s="197" customFormat="1" ht="15.75" customHeight="1">
      <c r="A33" s="572">
        <f>A27+1</f>
        <v>6</v>
      </c>
      <c r="B33" s="574" t="s">
        <v>155</v>
      </c>
      <c r="C33" s="209" t="s">
        <v>145</v>
      </c>
      <c r="D33" s="209">
        <f t="shared" si="13"/>
        <v>0</v>
      </c>
      <c r="E33" s="209" t="s">
        <v>146</v>
      </c>
      <c r="F33" s="427" t="s">
        <v>145</v>
      </c>
      <c r="G33" s="252"/>
      <c r="H33" s="252" t="s">
        <v>146</v>
      </c>
      <c r="I33" s="427" t="s">
        <v>145</v>
      </c>
      <c r="J33" s="252"/>
      <c r="K33" s="252" t="s">
        <v>146</v>
      </c>
      <c r="L33" s="427" t="s">
        <v>145</v>
      </c>
      <c r="M33" s="209">
        <f t="shared" si="14"/>
        <v>0</v>
      </c>
      <c r="N33" s="252" t="s">
        <v>146</v>
      </c>
      <c r="O33" s="212" t="s">
        <v>145</v>
      </c>
      <c r="P33" s="209"/>
      <c r="Q33" s="209" t="s">
        <v>146</v>
      </c>
      <c r="R33" s="208" t="s">
        <v>145</v>
      </c>
      <c r="S33" s="209">
        <f aca="true" t="shared" si="24" ref="S33:S54">AB33+AE33</f>
        <v>0</v>
      </c>
      <c r="T33" s="209" t="s">
        <v>146</v>
      </c>
      <c r="U33" s="212" t="s">
        <v>145</v>
      </c>
      <c r="V33" s="209"/>
      <c r="W33" s="209" t="s">
        <v>146</v>
      </c>
      <c r="X33" s="212" t="s">
        <v>145</v>
      </c>
      <c r="Y33" s="209"/>
      <c r="Z33" s="209" t="s">
        <v>146</v>
      </c>
      <c r="AA33" s="212" t="s">
        <v>145</v>
      </c>
      <c r="AB33" s="209">
        <f t="shared" si="15"/>
        <v>0</v>
      </c>
      <c r="AC33" s="209" t="s">
        <v>146</v>
      </c>
      <c r="AD33" s="212" t="s">
        <v>145</v>
      </c>
      <c r="AE33" s="209"/>
      <c r="AF33" s="211" t="s">
        <v>146</v>
      </c>
      <c r="AG33" s="209"/>
      <c r="AH33" s="208" t="s">
        <v>145</v>
      </c>
      <c r="AI33" s="209">
        <f t="shared" si="16"/>
        <v>0</v>
      </c>
      <c r="AJ33" s="209" t="s">
        <v>146</v>
      </c>
      <c r="AK33" s="212" t="s">
        <v>145</v>
      </c>
      <c r="AL33" s="209"/>
      <c r="AM33" s="209" t="s">
        <v>146</v>
      </c>
      <c r="AN33" s="212" t="s">
        <v>145</v>
      </c>
      <c r="AO33" s="209"/>
      <c r="AP33" s="209" t="s">
        <v>146</v>
      </c>
      <c r="AQ33" s="212" t="s">
        <v>145</v>
      </c>
      <c r="AR33" s="209">
        <f t="shared" si="0"/>
        <v>0</v>
      </c>
      <c r="AS33" s="209" t="s">
        <v>146</v>
      </c>
      <c r="AT33" s="212" t="s">
        <v>145</v>
      </c>
      <c r="AU33" s="209"/>
      <c r="AV33" s="211" t="s">
        <v>146</v>
      </c>
      <c r="AW33" s="208" t="s">
        <v>145</v>
      </c>
      <c r="AX33" s="209">
        <f t="shared" si="17"/>
        <v>0</v>
      </c>
      <c r="AY33" s="209" t="s">
        <v>146</v>
      </c>
      <c r="AZ33" s="212" t="s">
        <v>145</v>
      </c>
      <c r="BA33" s="209"/>
      <c r="BB33" s="209" t="s">
        <v>146</v>
      </c>
      <c r="BC33" s="212" t="s">
        <v>145</v>
      </c>
      <c r="BD33" s="209"/>
      <c r="BE33" s="209" t="s">
        <v>146</v>
      </c>
      <c r="BF33" s="212" t="s">
        <v>145</v>
      </c>
      <c r="BG33" s="209">
        <f t="shared" si="18"/>
        <v>0</v>
      </c>
      <c r="BH33" s="209" t="s">
        <v>146</v>
      </c>
      <c r="BI33" s="212" t="s">
        <v>145</v>
      </c>
      <c r="BJ33" s="209"/>
      <c r="BK33" s="209" t="s">
        <v>146</v>
      </c>
      <c r="BL33" s="653">
        <f>BL27+1</f>
        <v>6</v>
      </c>
      <c r="BM33" s="572">
        <f>BM27+1</f>
        <v>6</v>
      </c>
      <c r="BN33" s="574" t="s">
        <v>155</v>
      </c>
      <c r="BO33" s="209" t="s">
        <v>145</v>
      </c>
      <c r="BP33" s="209">
        <f t="shared" si="21"/>
        <v>0</v>
      </c>
      <c r="BQ33" s="209" t="s">
        <v>146</v>
      </c>
      <c r="BR33" s="212" t="s">
        <v>145</v>
      </c>
      <c r="BS33" s="209"/>
      <c r="BT33" s="209" t="s">
        <v>146</v>
      </c>
      <c r="BU33" s="212" t="s">
        <v>145</v>
      </c>
      <c r="BV33" s="209"/>
      <c r="BW33" s="209" t="s">
        <v>146</v>
      </c>
      <c r="BX33" s="212" t="s">
        <v>145</v>
      </c>
      <c r="BY33" s="209">
        <f t="shared" si="19"/>
        <v>0</v>
      </c>
      <c r="BZ33" s="209" t="s">
        <v>146</v>
      </c>
      <c r="CA33" s="212" t="s">
        <v>145</v>
      </c>
      <c r="CB33" s="209"/>
      <c r="CC33" s="209" t="s">
        <v>146</v>
      </c>
      <c r="CD33" s="208" t="s">
        <v>145</v>
      </c>
      <c r="CE33" s="209">
        <f t="shared" si="22"/>
        <v>95.5495</v>
      </c>
      <c r="CF33" s="209" t="s">
        <v>146</v>
      </c>
      <c r="CG33" s="212" t="s">
        <v>145</v>
      </c>
      <c r="CH33" s="209">
        <v>95.5495</v>
      </c>
      <c r="CI33" s="209" t="s">
        <v>146</v>
      </c>
      <c r="CJ33" s="212" t="s">
        <v>145</v>
      </c>
      <c r="CK33" s="209"/>
      <c r="CL33" s="209" t="s">
        <v>146</v>
      </c>
      <c r="CM33" s="212" t="s">
        <v>145</v>
      </c>
      <c r="CN33" s="209">
        <f t="shared" si="9"/>
        <v>95.5495</v>
      </c>
      <c r="CO33" s="209" t="s">
        <v>146</v>
      </c>
      <c r="CP33" s="212" t="s">
        <v>145</v>
      </c>
      <c r="CQ33" s="209"/>
      <c r="CR33" s="211" t="s">
        <v>146</v>
      </c>
      <c r="CS33" s="209"/>
      <c r="CT33" s="208" t="s">
        <v>145</v>
      </c>
      <c r="CU33" s="209">
        <f t="shared" si="23"/>
        <v>0</v>
      </c>
      <c r="CV33" s="209" t="s">
        <v>146</v>
      </c>
      <c r="CW33" s="212" t="s">
        <v>145</v>
      </c>
      <c r="CX33" s="209"/>
      <c r="CY33" s="209" t="s">
        <v>146</v>
      </c>
      <c r="CZ33" s="212" t="s">
        <v>145</v>
      </c>
      <c r="DA33" s="209"/>
      <c r="DB33" s="209" t="s">
        <v>146</v>
      </c>
      <c r="DC33" s="212" t="s">
        <v>145</v>
      </c>
      <c r="DD33" s="209">
        <f t="shared" si="20"/>
        <v>0</v>
      </c>
      <c r="DE33" s="209" t="s">
        <v>146</v>
      </c>
      <c r="DF33" s="212" t="s">
        <v>145</v>
      </c>
      <c r="DG33" s="209"/>
      <c r="DH33" s="211" t="s">
        <v>146</v>
      </c>
      <c r="DI33" s="650">
        <v>6</v>
      </c>
      <c r="DJ33" s="199"/>
    </row>
    <row r="34" spans="1:114" s="197" customFormat="1" ht="15.75" customHeight="1">
      <c r="A34" s="572"/>
      <c r="B34" s="574"/>
      <c r="C34" s="209"/>
      <c r="D34" s="254">
        <f t="shared" si="13"/>
        <v>0</v>
      </c>
      <c r="E34" s="209"/>
      <c r="F34" s="427"/>
      <c r="G34" s="252"/>
      <c r="H34" s="252"/>
      <c r="I34" s="427"/>
      <c r="J34" s="252"/>
      <c r="K34" s="252"/>
      <c r="L34" s="427"/>
      <c r="M34" s="254">
        <f t="shared" si="14"/>
        <v>0</v>
      </c>
      <c r="N34" s="252"/>
      <c r="O34" s="212"/>
      <c r="P34" s="209"/>
      <c r="Q34" s="209"/>
      <c r="R34" s="208"/>
      <c r="S34" s="254">
        <f t="shared" si="24"/>
        <v>0</v>
      </c>
      <c r="T34" s="209"/>
      <c r="U34" s="212"/>
      <c r="V34" s="209"/>
      <c r="W34" s="209"/>
      <c r="X34" s="212"/>
      <c r="Y34" s="209"/>
      <c r="Z34" s="209"/>
      <c r="AA34" s="212"/>
      <c r="AB34" s="254">
        <f t="shared" si="15"/>
        <v>0</v>
      </c>
      <c r="AC34" s="209"/>
      <c r="AD34" s="212"/>
      <c r="AE34" s="209"/>
      <c r="AF34" s="211"/>
      <c r="AG34" s="209"/>
      <c r="AH34" s="208"/>
      <c r="AI34" s="254">
        <f t="shared" si="16"/>
        <v>45.7477</v>
      </c>
      <c r="AJ34" s="209"/>
      <c r="AK34" s="212"/>
      <c r="AL34" s="209">
        <v>45.6224</v>
      </c>
      <c r="AM34" s="209"/>
      <c r="AN34" s="212"/>
      <c r="AO34" s="209"/>
      <c r="AP34" s="209"/>
      <c r="AQ34" s="212"/>
      <c r="AR34" s="254">
        <f t="shared" si="0"/>
        <v>45.6224</v>
      </c>
      <c r="AS34" s="209"/>
      <c r="AT34" s="212"/>
      <c r="AU34" s="312">
        <v>0.1253</v>
      </c>
      <c r="AV34" s="211"/>
      <c r="AW34" s="208"/>
      <c r="AX34" s="254">
        <f t="shared" si="17"/>
        <v>0</v>
      </c>
      <c r="AY34" s="209"/>
      <c r="AZ34" s="212"/>
      <c r="BA34" s="209"/>
      <c r="BB34" s="209"/>
      <c r="BC34" s="212"/>
      <c r="BD34" s="209"/>
      <c r="BE34" s="209"/>
      <c r="BF34" s="212"/>
      <c r="BG34" s="254">
        <f t="shared" si="18"/>
        <v>0</v>
      </c>
      <c r="BH34" s="209"/>
      <c r="BI34" s="212"/>
      <c r="BJ34" s="209"/>
      <c r="BK34" s="209"/>
      <c r="BL34" s="653"/>
      <c r="BM34" s="572"/>
      <c r="BN34" s="574"/>
      <c r="BO34" s="209"/>
      <c r="BP34" s="254">
        <f t="shared" si="21"/>
        <v>5.8374</v>
      </c>
      <c r="BQ34" s="209"/>
      <c r="BR34" s="212"/>
      <c r="BS34" s="209"/>
      <c r="BT34" s="209"/>
      <c r="BU34" s="212"/>
      <c r="BV34" s="209"/>
      <c r="BW34" s="209"/>
      <c r="BX34" s="212"/>
      <c r="BY34" s="254">
        <f t="shared" si="19"/>
        <v>0</v>
      </c>
      <c r="BZ34" s="209"/>
      <c r="CA34" s="212"/>
      <c r="CB34" s="209">
        <v>5.8374</v>
      </c>
      <c r="CC34" s="209"/>
      <c r="CD34" s="208"/>
      <c r="CE34" s="254">
        <f t="shared" si="22"/>
        <v>152.6003</v>
      </c>
      <c r="CF34" s="209"/>
      <c r="CG34" s="212"/>
      <c r="CH34" s="209">
        <v>152.6003</v>
      </c>
      <c r="CI34" s="209"/>
      <c r="CJ34" s="212"/>
      <c r="CK34" s="209"/>
      <c r="CL34" s="209"/>
      <c r="CM34" s="212"/>
      <c r="CN34" s="254">
        <f t="shared" si="9"/>
        <v>152.6003</v>
      </c>
      <c r="CO34" s="209"/>
      <c r="CP34" s="212"/>
      <c r="CQ34" s="209"/>
      <c r="CR34" s="211"/>
      <c r="CS34" s="209"/>
      <c r="CT34" s="208"/>
      <c r="CU34" s="254">
        <f t="shared" si="23"/>
        <v>0</v>
      </c>
      <c r="CV34" s="209"/>
      <c r="CW34" s="212"/>
      <c r="CX34" s="209"/>
      <c r="CY34" s="209"/>
      <c r="CZ34" s="212"/>
      <c r="DA34" s="209"/>
      <c r="DB34" s="209"/>
      <c r="DC34" s="212"/>
      <c r="DD34" s="254">
        <f t="shared" si="20"/>
        <v>0</v>
      </c>
      <c r="DE34" s="209"/>
      <c r="DF34" s="212"/>
      <c r="DG34" s="209"/>
      <c r="DH34" s="211"/>
      <c r="DI34" s="650"/>
      <c r="DJ34" s="199"/>
    </row>
    <row r="35" spans="1:114" s="197" customFormat="1" ht="15.75" customHeight="1">
      <c r="A35" s="579">
        <f>A33+1</f>
        <v>7</v>
      </c>
      <c r="B35" s="578" t="s">
        <v>156</v>
      </c>
      <c r="C35" s="258" t="s">
        <v>145</v>
      </c>
      <c r="D35" s="209">
        <f t="shared" si="13"/>
        <v>0</v>
      </c>
      <c r="E35" s="258" t="s">
        <v>146</v>
      </c>
      <c r="F35" s="430" t="s">
        <v>145</v>
      </c>
      <c r="G35" s="260"/>
      <c r="H35" s="260" t="s">
        <v>146</v>
      </c>
      <c r="I35" s="430" t="s">
        <v>145</v>
      </c>
      <c r="J35" s="260"/>
      <c r="K35" s="260" t="s">
        <v>146</v>
      </c>
      <c r="L35" s="430" t="s">
        <v>145</v>
      </c>
      <c r="M35" s="209">
        <f t="shared" si="14"/>
        <v>0</v>
      </c>
      <c r="N35" s="260" t="s">
        <v>146</v>
      </c>
      <c r="O35" s="259" t="s">
        <v>145</v>
      </c>
      <c r="P35" s="258"/>
      <c r="Q35" s="258" t="s">
        <v>146</v>
      </c>
      <c r="R35" s="261" t="s">
        <v>145</v>
      </c>
      <c r="S35" s="209">
        <f t="shared" si="24"/>
        <v>0</v>
      </c>
      <c r="T35" s="258" t="s">
        <v>146</v>
      </c>
      <c r="U35" s="259" t="s">
        <v>145</v>
      </c>
      <c r="V35" s="258"/>
      <c r="W35" s="258" t="s">
        <v>146</v>
      </c>
      <c r="X35" s="259" t="s">
        <v>145</v>
      </c>
      <c r="Y35" s="258"/>
      <c r="Z35" s="258" t="s">
        <v>146</v>
      </c>
      <c r="AA35" s="259" t="s">
        <v>145</v>
      </c>
      <c r="AB35" s="209">
        <f t="shared" si="15"/>
        <v>0</v>
      </c>
      <c r="AC35" s="258" t="s">
        <v>146</v>
      </c>
      <c r="AD35" s="259" t="s">
        <v>145</v>
      </c>
      <c r="AE35" s="258"/>
      <c r="AF35" s="262" t="s">
        <v>146</v>
      </c>
      <c r="AG35" s="209"/>
      <c r="AH35" s="261" t="s">
        <v>145</v>
      </c>
      <c r="AI35" s="209">
        <f t="shared" si="16"/>
        <v>0</v>
      </c>
      <c r="AJ35" s="258" t="s">
        <v>146</v>
      </c>
      <c r="AK35" s="259" t="s">
        <v>145</v>
      </c>
      <c r="AL35" s="258"/>
      <c r="AM35" s="258" t="s">
        <v>146</v>
      </c>
      <c r="AN35" s="259" t="s">
        <v>145</v>
      </c>
      <c r="AO35" s="258"/>
      <c r="AP35" s="258" t="s">
        <v>146</v>
      </c>
      <c r="AQ35" s="259" t="s">
        <v>145</v>
      </c>
      <c r="AR35" s="209">
        <f t="shared" si="0"/>
        <v>0</v>
      </c>
      <c r="AS35" s="258" t="s">
        <v>146</v>
      </c>
      <c r="AT35" s="259" t="s">
        <v>145</v>
      </c>
      <c r="AU35" s="258"/>
      <c r="AV35" s="262" t="s">
        <v>146</v>
      </c>
      <c r="AW35" s="261" t="s">
        <v>145</v>
      </c>
      <c r="AX35" s="209">
        <f t="shared" si="17"/>
        <v>0</v>
      </c>
      <c r="AY35" s="258" t="s">
        <v>146</v>
      </c>
      <c r="AZ35" s="259" t="s">
        <v>145</v>
      </c>
      <c r="BA35" s="258"/>
      <c r="BB35" s="258" t="s">
        <v>146</v>
      </c>
      <c r="BC35" s="259" t="s">
        <v>145</v>
      </c>
      <c r="BD35" s="258"/>
      <c r="BE35" s="258" t="s">
        <v>146</v>
      </c>
      <c r="BF35" s="259" t="s">
        <v>145</v>
      </c>
      <c r="BG35" s="209">
        <f t="shared" si="18"/>
        <v>0</v>
      </c>
      <c r="BH35" s="258" t="s">
        <v>146</v>
      </c>
      <c r="BI35" s="259" t="s">
        <v>145</v>
      </c>
      <c r="BJ35" s="258"/>
      <c r="BK35" s="258" t="s">
        <v>146</v>
      </c>
      <c r="BL35" s="644">
        <f>BL33+1</f>
        <v>7</v>
      </c>
      <c r="BM35" s="579">
        <f>BM33+1</f>
        <v>7</v>
      </c>
      <c r="BN35" s="578" t="s">
        <v>198</v>
      </c>
      <c r="BO35" s="258" t="s">
        <v>145</v>
      </c>
      <c r="BP35" s="209">
        <f t="shared" si="21"/>
        <v>0</v>
      </c>
      <c r="BQ35" s="258" t="s">
        <v>146</v>
      </c>
      <c r="BR35" s="259" t="s">
        <v>145</v>
      </c>
      <c r="BS35" s="258"/>
      <c r="BT35" s="258" t="s">
        <v>146</v>
      </c>
      <c r="BU35" s="259" t="s">
        <v>145</v>
      </c>
      <c r="BV35" s="258"/>
      <c r="BW35" s="258" t="s">
        <v>146</v>
      </c>
      <c r="BX35" s="259" t="s">
        <v>145</v>
      </c>
      <c r="BY35" s="209">
        <f t="shared" si="19"/>
        <v>0</v>
      </c>
      <c r="BZ35" s="258" t="s">
        <v>146</v>
      </c>
      <c r="CA35" s="259" t="s">
        <v>145</v>
      </c>
      <c r="CB35" s="258"/>
      <c r="CC35" s="258" t="s">
        <v>146</v>
      </c>
      <c r="CD35" s="261" t="s">
        <v>145</v>
      </c>
      <c r="CE35" s="209">
        <f t="shared" si="22"/>
        <v>60.900999999999996</v>
      </c>
      <c r="CF35" s="258" t="s">
        <v>146</v>
      </c>
      <c r="CG35" s="259" t="s">
        <v>145</v>
      </c>
      <c r="CH35" s="258">
        <v>59.83</v>
      </c>
      <c r="CI35" s="258" t="s">
        <v>146</v>
      </c>
      <c r="CJ35" s="259" t="s">
        <v>145</v>
      </c>
      <c r="CK35" s="258"/>
      <c r="CL35" s="258" t="s">
        <v>146</v>
      </c>
      <c r="CM35" s="259" t="s">
        <v>145</v>
      </c>
      <c r="CN35" s="209">
        <f t="shared" si="9"/>
        <v>59.83</v>
      </c>
      <c r="CO35" s="258" t="s">
        <v>146</v>
      </c>
      <c r="CP35" s="259" t="s">
        <v>145</v>
      </c>
      <c r="CQ35" s="258">
        <v>1.071</v>
      </c>
      <c r="CR35" s="262" t="s">
        <v>146</v>
      </c>
      <c r="CS35" s="209"/>
      <c r="CT35" s="261" t="s">
        <v>145</v>
      </c>
      <c r="CU35" s="209">
        <f t="shared" si="23"/>
        <v>0</v>
      </c>
      <c r="CV35" s="258" t="s">
        <v>146</v>
      </c>
      <c r="CW35" s="259" t="s">
        <v>145</v>
      </c>
      <c r="CX35" s="258"/>
      <c r="CY35" s="258" t="s">
        <v>146</v>
      </c>
      <c r="CZ35" s="259" t="s">
        <v>145</v>
      </c>
      <c r="DA35" s="258"/>
      <c r="DB35" s="258" t="s">
        <v>146</v>
      </c>
      <c r="DC35" s="259" t="s">
        <v>145</v>
      </c>
      <c r="DD35" s="209">
        <f t="shared" si="20"/>
        <v>0</v>
      </c>
      <c r="DE35" s="258" t="s">
        <v>146</v>
      </c>
      <c r="DF35" s="259" t="s">
        <v>145</v>
      </c>
      <c r="DG35" s="258"/>
      <c r="DH35" s="262" t="s">
        <v>146</v>
      </c>
      <c r="DI35" s="655">
        <f>DI33+1</f>
        <v>7</v>
      </c>
      <c r="DJ35" s="199"/>
    </row>
    <row r="36" spans="1:114" s="197" customFormat="1" ht="15.75" customHeight="1">
      <c r="A36" s="580"/>
      <c r="B36" s="709"/>
      <c r="C36" s="254"/>
      <c r="D36" s="254">
        <f t="shared" si="13"/>
        <v>2.6361</v>
      </c>
      <c r="E36" s="254"/>
      <c r="F36" s="431"/>
      <c r="G36" s="263"/>
      <c r="H36" s="263"/>
      <c r="I36" s="431"/>
      <c r="J36" s="263"/>
      <c r="K36" s="263"/>
      <c r="L36" s="431"/>
      <c r="M36" s="254">
        <f t="shared" si="14"/>
        <v>0</v>
      </c>
      <c r="N36" s="263"/>
      <c r="O36" s="255"/>
      <c r="P36" s="254">
        <v>2.6361</v>
      </c>
      <c r="Q36" s="254"/>
      <c r="R36" s="264"/>
      <c r="S36" s="254">
        <f t="shared" si="24"/>
        <v>0</v>
      </c>
      <c r="T36" s="254"/>
      <c r="U36" s="255"/>
      <c r="V36" s="254"/>
      <c r="W36" s="254"/>
      <c r="X36" s="255"/>
      <c r="Y36" s="254"/>
      <c r="Z36" s="254"/>
      <c r="AA36" s="255"/>
      <c r="AB36" s="254">
        <f t="shared" si="15"/>
        <v>0</v>
      </c>
      <c r="AC36" s="254"/>
      <c r="AD36" s="255"/>
      <c r="AE36" s="254"/>
      <c r="AF36" s="265"/>
      <c r="AG36" s="209"/>
      <c r="AH36" s="264"/>
      <c r="AI36" s="254">
        <f t="shared" si="16"/>
        <v>180.9781</v>
      </c>
      <c r="AJ36" s="254"/>
      <c r="AK36" s="255"/>
      <c r="AL36" s="254">
        <v>17.27</v>
      </c>
      <c r="AM36" s="254"/>
      <c r="AN36" s="255"/>
      <c r="AO36" s="254"/>
      <c r="AP36" s="254"/>
      <c r="AQ36" s="255"/>
      <c r="AR36" s="254">
        <f t="shared" si="0"/>
        <v>17.27</v>
      </c>
      <c r="AS36" s="254"/>
      <c r="AT36" s="255"/>
      <c r="AU36" s="710">
        <v>163.7081</v>
      </c>
      <c r="AV36" s="265"/>
      <c r="AW36" s="264"/>
      <c r="AX36" s="254">
        <f t="shared" si="17"/>
        <v>0</v>
      </c>
      <c r="AY36" s="254"/>
      <c r="AZ36" s="255"/>
      <c r="BA36" s="254"/>
      <c r="BB36" s="254"/>
      <c r="BC36" s="255"/>
      <c r="BD36" s="254"/>
      <c r="BE36" s="254"/>
      <c r="BF36" s="255"/>
      <c r="BG36" s="254">
        <f t="shared" si="18"/>
        <v>0</v>
      </c>
      <c r="BH36" s="254"/>
      <c r="BI36" s="255"/>
      <c r="BJ36" s="254"/>
      <c r="BK36" s="254"/>
      <c r="BL36" s="645"/>
      <c r="BM36" s="580"/>
      <c r="BN36" s="611"/>
      <c r="BO36" s="254"/>
      <c r="BP36" s="254">
        <f t="shared" si="21"/>
        <v>0</v>
      </c>
      <c r="BQ36" s="254"/>
      <c r="BR36" s="255"/>
      <c r="BS36" s="254"/>
      <c r="BT36" s="254"/>
      <c r="BU36" s="255"/>
      <c r="BV36" s="254"/>
      <c r="BW36" s="254"/>
      <c r="BX36" s="255"/>
      <c r="BY36" s="254">
        <f t="shared" si="19"/>
        <v>0</v>
      </c>
      <c r="BZ36" s="254"/>
      <c r="CA36" s="255"/>
      <c r="CB36" s="254"/>
      <c r="CC36" s="254"/>
      <c r="CD36" s="264"/>
      <c r="CE36" s="254">
        <f t="shared" si="22"/>
        <v>0</v>
      </c>
      <c r="CF36" s="254"/>
      <c r="CG36" s="255"/>
      <c r="CH36" s="254"/>
      <c r="CI36" s="254"/>
      <c r="CJ36" s="255"/>
      <c r="CK36" s="254"/>
      <c r="CL36" s="254"/>
      <c r="CM36" s="255"/>
      <c r="CN36" s="254">
        <f t="shared" si="9"/>
        <v>0</v>
      </c>
      <c r="CO36" s="254"/>
      <c r="CP36" s="255"/>
      <c r="CQ36" s="254"/>
      <c r="CR36" s="265"/>
      <c r="CS36" s="209"/>
      <c r="CT36" s="264"/>
      <c r="CU36" s="254">
        <f t="shared" si="23"/>
        <v>128.0269</v>
      </c>
      <c r="CV36" s="254"/>
      <c r="CW36" s="255"/>
      <c r="CX36" s="254">
        <v>128.0269</v>
      </c>
      <c r="CY36" s="254"/>
      <c r="CZ36" s="255"/>
      <c r="DA36" s="254"/>
      <c r="DB36" s="254"/>
      <c r="DC36" s="255"/>
      <c r="DD36" s="254">
        <f t="shared" si="20"/>
        <v>128.0269</v>
      </c>
      <c r="DE36" s="254"/>
      <c r="DF36" s="255"/>
      <c r="DG36" s="254"/>
      <c r="DH36" s="265"/>
      <c r="DI36" s="656"/>
      <c r="DJ36" s="199"/>
    </row>
    <row r="37" spans="1:114" s="197" customFormat="1" ht="15.75" customHeight="1">
      <c r="A37" s="579">
        <f>A35+1</f>
        <v>8</v>
      </c>
      <c r="B37" s="574" t="s">
        <v>157</v>
      </c>
      <c r="C37" s="209" t="s">
        <v>145</v>
      </c>
      <c r="D37" s="209">
        <f t="shared" si="13"/>
        <v>0</v>
      </c>
      <c r="E37" s="209" t="s">
        <v>146</v>
      </c>
      <c r="F37" s="427" t="s">
        <v>145</v>
      </c>
      <c r="G37" s="252"/>
      <c r="H37" s="252" t="s">
        <v>146</v>
      </c>
      <c r="I37" s="427" t="s">
        <v>145</v>
      </c>
      <c r="J37" s="252"/>
      <c r="K37" s="252" t="s">
        <v>146</v>
      </c>
      <c r="L37" s="427" t="s">
        <v>145</v>
      </c>
      <c r="M37" s="209">
        <f t="shared" si="14"/>
        <v>0</v>
      </c>
      <c r="N37" s="252" t="s">
        <v>146</v>
      </c>
      <c r="O37" s="212" t="s">
        <v>145</v>
      </c>
      <c r="P37" s="209"/>
      <c r="Q37" s="209" t="s">
        <v>146</v>
      </c>
      <c r="R37" s="208" t="s">
        <v>145</v>
      </c>
      <c r="S37" s="209">
        <f t="shared" si="24"/>
        <v>0</v>
      </c>
      <c r="T37" s="209" t="s">
        <v>146</v>
      </c>
      <c r="U37" s="212" t="s">
        <v>145</v>
      </c>
      <c r="V37" s="209"/>
      <c r="W37" s="209" t="s">
        <v>146</v>
      </c>
      <c r="X37" s="212" t="s">
        <v>145</v>
      </c>
      <c r="Y37" s="209"/>
      <c r="Z37" s="209" t="s">
        <v>146</v>
      </c>
      <c r="AA37" s="212" t="s">
        <v>145</v>
      </c>
      <c r="AB37" s="209">
        <f t="shared" si="15"/>
        <v>0</v>
      </c>
      <c r="AC37" s="209" t="s">
        <v>146</v>
      </c>
      <c r="AD37" s="212" t="s">
        <v>145</v>
      </c>
      <c r="AE37" s="209"/>
      <c r="AF37" s="211" t="s">
        <v>146</v>
      </c>
      <c r="AG37" s="209"/>
      <c r="AH37" s="208" t="s">
        <v>145</v>
      </c>
      <c r="AI37" s="209">
        <f t="shared" si="16"/>
        <v>0</v>
      </c>
      <c r="AJ37" s="209" t="s">
        <v>146</v>
      </c>
      <c r="AK37" s="212" t="s">
        <v>145</v>
      </c>
      <c r="AL37" s="209"/>
      <c r="AM37" s="209" t="s">
        <v>146</v>
      </c>
      <c r="AN37" s="212" t="s">
        <v>145</v>
      </c>
      <c r="AO37" s="209"/>
      <c r="AP37" s="209" t="s">
        <v>146</v>
      </c>
      <c r="AQ37" s="212" t="s">
        <v>145</v>
      </c>
      <c r="AR37" s="209">
        <f t="shared" si="0"/>
        <v>0</v>
      </c>
      <c r="AS37" s="209" t="s">
        <v>146</v>
      </c>
      <c r="AT37" s="212" t="s">
        <v>145</v>
      </c>
      <c r="AU37" s="209"/>
      <c r="AV37" s="211" t="s">
        <v>146</v>
      </c>
      <c r="AW37" s="208" t="s">
        <v>145</v>
      </c>
      <c r="AX37" s="209">
        <f t="shared" si="17"/>
        <v>0</v>
      </c>
      <c r="AY37" s="209" t="s">
        <v>146</v>
      </c>
      <c r="AZ37" s="212" t="s">
        <v>145</v>
      </c>
      <c r="BA37" s="209"/>
      <c r="BB37" s="209" t="s">
        <v>146</v>
      </c>
      <c r="BC37" s="212" t="s">
        <v>145</v>
      </c>
      <c r="BD37" s="209"/>
      <c r="BE37" s="209" t="s">
        <v>146</v>
      </c>
      <c r="BF37" s="212" t="s">
        <v>145</v>
      </c>
      <c r="BG37" s="209">
        <f t="shared" si="18"/>
        <v>0</v>
      </c>
      <c r="BH37" s="209" t="s">
        <v>146</v>
      </c>
      <c r="BI37" s="212" t="s">
        <v>145</v>
      </c>
      <c r="BJ37" s="209"/>
      <c r="BK37" s="209" t="s">
        <v>146</v>
      </c>
      <c r="BL37" s="644">
        <f>BL35+1</f>
        <v>8</v>
      </c>
      <c r="BM37" s="579">
        <f>BM35+1</f>
        <v>8</v>
      </c>
      <c r="BN37" s="574" t="s">
        <v>157</v>
      </c>
      <c r="BO37" s="209" t="s">
        <v>145</v>
      </c>
      <c r="BP37" s="209">
        <f t="shared" si="21"/>
        <v>0</v>
      </c>
      <c r="BQ37" s="209" t="s">
        <v>146</v>
      </c>
      <c r="BR37" s="212" t="s">
        <v>145</v>
      </c>
      <c r="BS37" s="209"/>
      <c r="BT37" s="209" t="s">
        <v>146</v>
      </c>
      <c r="BU37" s="212" t="s">
        <v>145</v>
      </c>
      <c r="BV37" s="209"/>
      <c r="BW37" s="209" t="s">
        <v>146</v>
      </c>
      <c r="BX37" s="212" t="s">
        <v>145</v>
      </c>
      <c r="BY37" s="209">
        <f t="shared" si="19"/>
        <v>0</v>
      </c>
      <c r="BZ37" s="209" t="s">
        <v>146</v>
      </c>
      <c r="CA37" s="212" t="s">
        <v>145</v>
      </c>
      <c r="CB37" s="209"/>
      <c r="CC37" s="209" t="s">
        <v>146</v>
      </c>
      <c r="CD37" s="208" t="s">
        <v>145</v>
      </c>
      <c r="CE37" s="209">
        <f t="shared" si="22"/>
        <v>0</v>
      </c>
      <c r="CF37" s="209" t="s">
        <v>146</v>
      </c>
      <c r="CG37" s="212" t="s">
        <v>145</v>
      </c>
      <c r="CH37" s="209"/>
      <c r="CI37" s="209" t="s">
        <v>146</v>
      </c>
      <c r="CJ37" s="212" t="s">
        <v>145</v>
      </c>
      <c r="CK37" s="209"/>
      <c r="CL37" s="209" t="s">
        <v>146</v>
      </c>
      <c r="CM37" s="212" t="s">
        <v>145</v>
      </c>
      <c r="CN37" s="209">
        <f t="shared" si="9"/>
        <v>0</v>
      </c>
      <c r="CO37" s="209" t="s">
        <v>146</v>
      </c>
      <c r="CP37" s="212" t="s">
        <v>145</v>
      </c>
      <c r="CQ37" s="209"/>
      <c r="CR37" s="211" t="s">
        <v>146</v>
      </c>
      <c r="CS37" s="209"/>
      <c r="CT37" s="208" t="s">
        <v>145</v>
      </c>
      <c r="CU37" s="209">
        <f t="shared" si="23"/>
        <v>0</v>
      </c>
      <c r="CV37" s="209" t="s">
        <v>146</v>
      </c>
      <c r="CW37" s="212" t="s">
        <v>145</v>
      </c>
      <c r="CX37" s="209"/>
      <c r="CY37" s="209" t="s">
        <v>146</v>
      </c>
      <c r="CZ37" s="212" t="s">
        <v>145</v>
      </c>
      <c r="DA37" s="209"/>
      <c r="DB37" s="209" t="s">
        <v>146</v>
      </c>
      <c r="DC37" s="212" t="s">
        <v>145</v>
      </c>
      <c r="DD37" s="209">
        <f t="shared" si="20"/>
        <v>0</v>
      </c>
      <c r="DE37" s="209" t="s">
        <v>146</v>
      </c>
      <c r="DF37" s="212" t="s">
        <v>145</v>
      </c>
      <c r="DG37" s="209"/>
      <c r="DH37" s="211" t="s">
        <v>146</v>
      </c>
      <c r="DI37" s="655">
        <f>DI35+1</f>
        <v>8</v>
      </c>
      <c r="DJ37" s="199"/>
    </row>
    <row r="38" spans="1:114" s="197" customFormat="1" ht="15.75" customHeight="1">
      <c r="A38" s="580"/>
      <c r="B38" s="574"/>
      <c r="C38" s="209"/>
      <c r="D38" s="254">
        <f t="shared" si="13"/>
        <v>23.998516</v>
      </c>
      <c r="E38" s="209"/>
      <c r="F38" s="427"/>
      <c r="G38" s="252"/>
      <c r="H38" s="252"/>
      <c r="I38" s="427"/>
      <c r="J38" s="313">
        <f>0.037516</f>
        <v>0.037516</v>
      </c>
      <c r="K38" s="252"/>
      <c r="L38" s="427"/>
      <c r="M38" s="254">
        <f t="shared" si="14"/>
        <v>0.037516</v>
      </c>
      <c r="N38" s="252"/>
      <c r="O38" s="212"/>
      <c r="P38" s="209">
        <v>23.961</v>
      </c>
      <c r="Q38" s="209"/>
      <c r="R38" s="208"/>
      <c r="S38" s="254">
        <f t="shared" si="24"/>
        <v>0</v>
      </c>
      <c r="T38" s="209"/>
      <c r="U38" s="212"/>
      <c r="V38" s="209"/>
      <c r="W38" s="209"/>
      <c r="X38" s="212"/>
      <c r="Y38" s="209"/>
      <c r="Z38" s="209"/>
      <c r="AA38" s="212"/>
      <c r="AB38" s="254">
        <f t="shared" si="15"/>
        <v>0</v>
      </c>
      <c r="AC38" s="209"/>
      <c r="AD38" s="212"/>
      <c r="AE38" s="291"/>
      <c r="AF38" s="211"/>
      <c r="AG38" s="209"/>
      <c r="AH38" s="208"/>
      <c r="AI38" s="254">
        <f t="shared" si="16"/>
        <v>0</v>
      </c>
      <c r="AJ38" s="209"/>
      <c r="AK38" s="212"/>
      <c r="AL38" s="209"/>
      <c r="AM38" s="209"/>
      <c r="AN38" s="212"/>
      <c r="AO38" s="209"/>
      <c r="AP38" s="209"/>
      <c r="AQ38" s="212"/>
      <c r="AR38" s="254">
        <f t="shared" si="0"/>
        <v>0</v>
      </c>
      <c r="AS38" s="209"/>
      <c r="AT38" s="212"/>
      <c r="AU38" s="209"/>
      <c r="AV38" s="211"/>
      <c r="AW38" s="208"/>
      <c r="AX38" s="254">
        <f t="shared" si="17"/>
        <v>0</v>
      </c>
      <c r="AY38" s="209"/>
      <c r="AZ38" s="212"/>
      <c r="BA38" s="209"/>
      <c r="BB38" s="209"/>
      <c r="BC38" s="212"/>
      <c r="BD38" s="209"/>
      <c r="BE38" s="209"/>
      <c r="BF38" s="212"/>
      <c r="BG38" s="254">
        <f t="shared" si="18"/>
        <v>0</v>
      </c>
      <c r="BH38" s="209"/>
      <c r="BI38" s="212"/>
      <c r="BJ38" s="209"/>
      <c r="BK38" s="209"/>
      <c r="BL38" s="645"/>
      <c r="BM38" s="580"/>
      <c r="BN38" s="574"/>
      <c r="BO38" s="209"/>
      <c r="BP38" s="254">
        <f t="shared" si="21"/>
        <v>14.5375</v>
      </c>
      <c r="BQ38" s="209"/>
      <c r="BR38" s="212"/>
      <c r="BS38" s="209">
        <v>4.5838</v>
      </c>
      <c r="BT38" s="209"/>
      <c r="BU38" s="212"/>
      <c r="BV38" s="209"/>
      <c r="BW38" s="209"/>
      <c r="BX38" s="212"/>
      <c r="BY38" s="254">
        <f t="shared" si="19"/>
        <v>4.5838</v>
      </c>
      <c r="BZ38" s="209"/>
      <c r="CA38" s="212"/>
      <c r="CB38" s="708">
        <v>9.9537</v>
      </c>
      <c r="CC38" s="209"/>
      <c r="CD38" s="208"/>
      <c r="CE38" s="254">
        <f t="shared" si="22"/>
        <v>0</v>
      </c>
      <c r="CF38" s="209"/>
      <c r="CG38" s="212"/>
      <c r="CH38" s="209"/>
      <c r="CI38" s="209"/>
      <c r="CJ38" s="212"/>
      <c r="CK38" s="209"/>
      <c r="CL38" s="209"/>
      <c r="CM38" s="212"/>
      <c r="CN38" s="254">
        <f t="shared" si="9"/>
        <v>0</v>
      </c>
      <c r="CO38" s="209"/>
      <c r="CP38" s="212"/>
      <c r="CQ38" s="209"/>
      <c r="CR38" s="211"/>
      <c r="CS38" s="209"/>
      <c r="CT38" s="208"/>
      <c r="CU38" s="254">
        <f t="shared" si="23"/>
        <v>0</v>
      </c>
      <c r="CV38" s="209"/>
      <c r="CW38" s="212"/>
      <c r="CX38" s="209"/>
      <c r="CY38" s="209"/>
      <c r="CZ38" s="212"/>
      <c r="DA38" s="209"/>
      <c r="DB38" s="209"/>
      <c r="DC38" s="212"/>
      <c r="DD38" s="254">
        <f t="shared" si="20"/>
        <v>0</v>
      </c>
      <c r="DE38" s="209"/>
      <c r="DF38" s="212"/>
      <c r="DG38" s="209"/>
      <c r="DH38" s="211"/>
      <c r="DI38" s="656"/>
      <c r="DJ38" s="199"/>
    </row>
    <row r="39" spans="1:114" s="197" customFormat="1" ht="15.75" customHeight="1">
      <c r="A39" s="579">
        <f>A37+1</f>
        <v>9</v>
      </c>
      <c r="B39" s="578" t="s">
        <v>158</v>
      </c>
      <c r="C39" s="258" t="s">
        <v>145</v>
      </c>
      <c r="D39" s="209">
        <f t="shared" si="13"/>
        <v>0</v>
      </c>
      <c r="E39" s="258" t="s">
        <v>146</v>
      </c>
      <c r="F39" s="430" t="s">
        <v>145</v>
      </c>
      <c r="G39" s="260"/>
      <c r="H39" s="260" t="s">
        <v>146</v>
      </c>
      <c r="I39" s="430" t="s">
        <v>145</v>
      </c>
      <c r="J39" s="260"/>
      <c r="K39" s="260" t="s">
        <v>146</v>
      </c>
      <c r="L39" s="430" t="s">
        <v>145</v>
      </c>
      <c r="M39" s="209">
        <f t="shared" si="14"/>
        <v>0</v>
      </c>
      <c r="N39" s="260" t="s">
        <v>146</v>
      </c>
      <c r="O39" s="259" t="s">
        <v>145</v>
      </c>
      <c r="P39" s="258"/>
      <c r="Q39" s="258" t="s">
        <v>146</v>
      </c>
      <c r="R39" s="261" t="s">
        <v>145</v>
      </c>
      <c r="S39" s="209">
        <f t="shared" si="24"/>
        <v>0</v>
      </c>
      <c r="T39" s="258" t="s">
        <v>146</v>
      </c>
      <c r="U39" s="259" t="s">
        <v>145</v>
      </c>
      <c r="V39" s="258"/>
      <c r="W39" s="258" t="s">
        <v>146</v>
      </c>
      <c r="X39" s="259" t="s">
        <v>145</v>
      </c>
      <c r="Y39" s="258"/>
      <c r="Z39" s="258" t="s">
        <v>146</v>
      </c>
      <c r="AA39" s="259" t="s">
        <v>145</v>
      </c>
      <c r="AB39" s="209">
        <f t="shared" si="15"/>
        <v>0</v>
      </c>
      <c r="AC39" s="258" t="s">
        <v>146</v>
      </c>
      <c r="AD39" s="259" t="s">
        <v>145</v>
      </c>
      <c r="AE39" s="258"/>
      <c r="AF39" s="262" t="s">
        <v>146</v>
      </c>
      <c r="AG39" s="209"/>
      <c r="AH39" s="261" t="s">
        <v>145</v>
      </c>
      <c r="AI39" s="209">
        <f t="shared" si="16"/>
        <v>0</v>
      </c>
      <c r="AJ39" s="258" t="s">
        <v>146</v>
      </c>
      <c r="AK39" s="259" t="s">
        <v>145</v>
      </c>
      <c r="AL39" s="258"/>
      <c r="AM39" s="258" t="s">
        <v>146</v>
      </c>
      <c r="AN39" s="259" t="s">
        <v>145</v>
      </c>
      <c r="AO39" s="258"/>
      <c r="AP39" s="258" t="s">
        <v>146</v>
      </c>
      <c r="AQ39" s="259" t="s">
        <v>145</v>
      </c>
      <c r="AR39" s="209">
        <f t="shared" si="0"/>
        <v>0</v>
      </c>
      <c r="AS39" s="258" t="s">
        <v>146</v>
      </c>
      <c r="AT39" s="259" t="s">
        <v>145</v>
      </c>
      <c r="AU39" s="258"/>
      <c r="AV39" s="262" t="s">
        <v>146</v>
      </c>
      <c r="AW39" s="261" t="s">
        <v>145</v>
      </c>
      <c r="AX39" s="209">
        <f t="shared" si="17"/>
        <v>0</v>
      </c>
      <c r="AY39" s="258" t="s">
        <v>146</v>
      </c>
      <c r="AZ39" s="259" t="s">
        <v>145</v>
      </c>
      <c r="BA39" s="258"/>
      <c r="BB39" s="258" t="s">
        <v>146</v>
      </c>
      <c r="BC39" s="259" t="s">
        <v>145</v>
      </c>
      <c r="BD39" s="258"/>
      <c r="BE39" s="258" t="s">
        <v>146</v>
      </c>
      <c r="BF39" s="259" t="s">
        <v>145</v>
      </c>
      <c r="BG39" s="209">
        <f t="shared" si="18"/>
        <v>0</v>
      </c>
      <c r="BH39" s="258" t="s">
        <v>146</v>
      </c>
      <c r="BI39" s="259" t="s">
        <v>145</v>
      </c>
      <c r="BJ39" s="258"/>
      <c r="BK39" s="258" t="s">
        <v>146</v>
      </c>
      <c r="BL39" s="644">
        <f>BL37+1</f>
        <v>9</v>
      </c>
      <c r="BM39" s="579">
        <f>BM37+1</f>
        <v>9</v>
      </c>
      <c r="BN39" s="578" t="s">
        <v>158</v>
      </c>
      <c r="BO39" s="258" t="s">
        <v>145</v>
      </c>
      <c r="BP39" s="209">
        <f t="shared" si="21"/>
        <v>0</v>
      </c>
      <c r="BQ39" s="258" t="s">
        <v>146</v>
      </c>
      <c r="BR39" s="259" t="s">
        <v>145</v>
      </c>
      <c r="BS39" s="258"/>
      <c r="BT39" s="258" t="s">
        <v>146</v>
      </c>
      <c r="BU39" s="259" t="s">
        <v>145</v>
      </c>
      <c r="BV39" s="258"/>
      <c r="BW39" s="258" t="s">
        <v>146</v>
      </c>
      <c r="BX39" s="259" t="s">
        <v>145</v>
      </c>
      <c r="BY39" s="209">
        <f t="shared" si="19"/>
        <v>0</v>
      </c>
      <c r="BZ39" s="258" t="s">
        <v>146</v>
      </c>
      <c r="CA39" s="259" t="s">
        <v>145</v>
      </c>
      <c r="CB39" s="258"/>
      <c r="CC39" s="258" t="s">
        <v>146</v>
      </c>
      <c r="CD39" s="261" t="s">
        <v>145</v>
      </c>
      <c r="CE39" s="209">
        <f t="shared" si="22"/>
        <v>878.9761</v>
      </c>
      <c r="CF39" s="258" t="s">
        <v>146</v>
      </c>
      <c r="CG39" s="259" t="s">
        <v>145</v>
      </c>
      <c r="CH39" s="258">
        <v>349.929</v>
      </c>
      <c r="CI39" s="258" t="s">
        <v>146</v>
      </c>
      <c r="CJ39" s="259" t="s">
        <v>145</v>
      </c>
      <c r="CK39" s="258"/>
      <c r="CL39" s="258" t="s">
        <v>146</v>
      </c>
      <c r="CM39" s="259" t="s">
        <v>145</v>
      </c>
      <c r="CN39" s="209">
        <f t="shared" si="9"/>
        <v>349.929</v>
      </c>
      <c r="CO39" s="258" t="s">
        <v>146</v>
      </c>
      <c r="CP39" s="259" t="s">
        <v>145</v>
      </c>
      <c r="CQ39" s="258">
        <v>529.0471</v>
      </c>
      <c r="CR39" s="262" t="s">
        <v>146</v>
      </c>
      <c r="CS39" s="209"/>
      <c r="CT39" s="261" t="s">
        <v>145</v>
      </c>
      <c r="CU39" s="209">
        <f t="shared" si="23"/>
        <v>0</v>
      </c>
      <c r="CV39" s="258" t="s">
        <v>146</v>
      </c>
      <c r="CW39" s="259" t="s">
        <v>145</v>
      </c>
      <c r="CX39" s="258"/>
      <c r="CY39" s="258" t="s">
        <v>146</v>
      </c>
      <c r="CZ39" s="259" t="s">
        <v>145</v>
      </c>
      <c r="DA39" s="258"/>
      <c r="DB39" s="258" t="s">
        <v>146</v>
      </c>
      <c r="DC39" s="259" t="s">
        <v>145</v>
      </c>
      <c r="DD39" s="209">
        <f t="shared" si="20"/>
        <v>0</v>
      </c>
      <c r="DE39" s="258" t="s">
        <v>146</v>
      </c>
      <c r="DF39" s="259" t="s">
        <v>145</v>
      </c>
      <c r="DG39" s="258"/>
      <c r="DH39" s="262" t="s">
        <v>146</v>
      </c>
      <c r="DI39" s="655">
        <f>DI37+1</f>
        <v>9</v>
      </c>
      <c r="DJ39" s="199"/>
    </row>
    <row r="40" spans="1:114" s="197" customFormat="1" ht="15.75" customHeight="1">
      <c r="A40" s="580"/>
      <c r="B40" s="611"/>
      <c r="C40" s="254"/>
      <c r="D40" s="254">
        <f t="shared" si="13"/>
        <v>38.2546</v>
      </c>
      <c r="E40" s="254"/>
      <c r="F40" s="431"/>
      <c r="G40" s="263"/>
      <c r="H40" s="263"/>
      <c r="I40" s="431"/>
      <c r="J40" s="263"/>
      <c r="K40" s="263"/>
      <c r="L40" s="431"/>
      <c r="M40" s="254">
        <f t="shared" si="14"/>
        <v>0</v>
      </c>
      <c r="N40" s="263"/>
      <c r="O40" s="255"/>
      <c r="P40" s="254">
        <v>38.2546</v>
      </c>
      <c r="Q40" s="254"/>
      <c r="R40" s="264"/>
      <c r="S40" s="254">
        <f t="shared" si="24"/>
        <v>0</v>
      </c>
      <c r="T40" s="254"/>
      <c r="U40" s="255"/>
      <c r="V40" s="254"/>
      <c r="W40" s="254"/>
      <c r="X40" s="255"/>
      <c r="Y40" s="254"/>
      <c r="Z40" s="254"/>
      <c r="AA40" s="255"/>
      <c r="AB40" s="254">
        <f t="shared" si="15"/>
        <v>0</v>
      </c>
      <c r="AC40" s="254"/>
      <c r="AD40" s="255"/>
      <c r="AE40" s="254"/>
      <c r="AF40" s="265"/>
      <c r="AG40" s="209"/>
      <c r="AH40" s="264"/>
      <c r="AI40" s="254">
        <f t="shared" si="16"/>
        <v>0</v>
      </c>
      <c r="AJ40" s="254"/>
      <c r="AK40" s="255"/>
      <c r="AL40" s="254"/>
      <c r="AM40" s="254"/>
      <c r="AN40" s="255"/>
      <c r="AO40" s="254"/>
      <c r="AP40" s="254"/>
      <c r="AQ40" s="255"/>
      <c r="AR40" s="254">
        <f t="shared" si="0"/>
        <v>0</v>
      </c>
      <c r="AS40" s="254"/>
      <c r="AT40" s="255"/>
      <c r="AU40" s="254"/>
      <c r="AV40" s="265"/>
      <c r="AW40" s="264"/>
      <c r="AX40" s="254">
        <f t="shared" si="17"/>
        <v>0</v>
      </c>
      <c r="AY40" s="254"/>
      <c r="AZ40" s="255"/>
      <c r="BA40" s="254"/>
      <c r="BB40" s="254"/>
      <c r="BC40" s="255"/>
      <c r="BD40" s="254"/>
      <c r="BE40" s="254"/>
      <c r="BF40" s="255"/>
      <c r="BG40" s="254">
        <f t="shared" si="18"/>
        <v>0</v>
      </c>
      <c r="BH40" s="254"/>
      <c r="BI40" s="255"/>
      <c r="BJ40" s="254"/>
      <c r="BK40" s="254"/>
      <c r="BL40" s="645"/>
      <c r="BM40" s="580"/>
      <c r="BN40" s="611"/>
      <c r="BO40" s="254"/>
      <c r="BP40" s="254">
        <f t="shared" si="21"/>
        <v>0</v>
      </c>
      <c r="BQ40" s="254"/>
      <c r="BR40" s="255"/>
      <c r="BS40" s="254"/>
      <c r="BT40" s="254"/>
      <c r="BU40" s="255"/>
      <c r="BV40" s="254"/>
      <c r="BW40" s="254"/>
      <c r="BX40" s="255"/>
      <c r="BY40" s="254">
        <f t="shared" si="19"/>
        <v>0</v>
      </c>
      <c r="BZ40" s="254"/>
      <c r="CA40" s="255"/>
      <c r="CB40" s="254"/>
      <c r="CC40" s="254"/>
      <c r="CD40" s="264"/>
      <c r="CE40" s="254">
        <f t="shared" si="22"/>
        <v>3.63</v>
      </c>
      <c r="CF40" s="254"/>
      <c r="CG40" s="255"/>
      <c r="CH40" s="254">
        <v>3.63</v>
      </c>
      <c r="CI40" s="254"/>
      <c r="CJ40" s="255"/>
      <c r="CK40" s="254"/>
      <c r="CL40" s="254"/>
      <c r="CM40" s="255"/>
      <c r="CN40" s="254">
        <f t="shared" si="9"/>
        <v>3.63</v>
      </c>
      <c r="CO40" s="254"/>
      <c r="CP40" s="255"/>
      <c r="CQ40" s="254"/>
      <c r="CR40" s="265"/>
      <c r="CS40" s="209"/>
      <c r="CT40" s="264"/>
      <c r="CU40" s="254">
        <f t="shared" si="23"/>
        <v>0</v>
      </c>
      <c r="CV40" s="254"/>
      <c r="CW40" s="255"/>
      <c r="CX40" s="254"/>
      <c r="CY40" s="254"/>
      <c r="CZ40" s="255"/>
      <c r="DA40" s="254"/>
      <c r="DB40" s="254"/>
      <c r="DC40" s="255"/>
      <c r="DD40" s="254">
        <f t="shared" si="20"/>
        <v>0</v>
      </c>
      <c r="DE40" s="254"/>
      <c r="DF40" s="255"/>
      <c r="DG40" s="254"/>
      <c r="DH40" s="265"/>
      <c r="DI40" s="656"/>
      <c r="DJ40" s="199"/>
    </row>
    <row r="41" spans="1:114" s="197" customFormat="1" ht="15.75" customHeight="1">
      <c r="A41" s="579">
        <f>A39+1</f>
        <v>10</v>
      </c>
      <c r="B41" s="574" t="s">
        <v>159</v>
      </c>
      <c r="C41" s="209" t="s">
        <v>145</v>
      </c>
      <c r="D41" s="209">
        <f t="shared" si="13"/>
        <v>0</v>
      </c>
      <c r="E41" s="209" t="s">
        <v>146</v>
      </c>
      <c r="F41" s="427" t="s">
        <v>145</v>
      </c>
      <c r="G41" s="252"/>
      <c r="H41" s="252" t="s">
        <v>146</v>
      </c>
      <c r="I41" s="427" t="s">
        <v>145</v>
      </c>
      <c r="J41" s="252"/>
      <c r="K41" s="252" t="s">
        <v>146</v>
      </c>
      <c r="L41" s="427" t="s">
        <v>145</v>
      </c>
      <c r="M41" s="209">
        <f t="shared" si="14"/>
        <v>0</v>
      </c>
      <c r="N41" s="252" t="s">
        <v>146</v>
      </c>
      <c r="O41" s="212" t="s">
        <v>145</v>
      </c>
      <c r="P41" s="209"/>
      <c r="Q41" s="209" t="s">
        <v>146</v>
      </c>
      <c r="R41" s="208" t="s">
        <v>145</v>
      </c>
      <c r="S41" s="209">
        <f t="shared" si="24"/>
        <v>0</v>
      </c>
      <c r="T41" s="209" t="s">
        <v>146</v>
      </c>
      <c r="U41" s="212" t="s">
        <v>145</v>
      </c>
      <c r="V41" s="209"/>
      <c r="W41" s="209" t="s">
        <v>146</v>
      </c>
      <c r="X41" s="212" t="s">
        <v>145</v>
      </c>
      <c r="Y41" s="209"/>
      <c r="Z41" s="209" t="s">
        <v>146</v>
      </c>
      <c r="AA41" s="212" t="s">
        <v>145</v>
      </c>
      <c r="AB41" s="209">
        <f t="shared" si="15"/>
        <v>0</v>
      </c>
      <c r="AC41" s="209"/>
      <c r="AD41" s="212" t="s">
        <v>145</v>
      </c>
      <c r="AE41" s="209"/>
      <c r="AF41" s="211" t="s">
        <v>146</v>
      </c>
      <c r="AG41" s="209"/>
      <c r="AH41" s="208" t="s">
        <v>145</v>
      </c>
      <c r="AI41" s="209">
        <f t="shared" si="16"/>
        <v>0</v>
      </c>
      <c r="AJ41" s="209" t="s">
        <v>146</v>
      </c>
      <c r="AK41" s="212" t="s">
        <v>145</v>
      </c>
      <c r="AL41" s="209"/>
      <c r="AM41" s="209" t="s">
        <v>146</v>
      </c>
      <c r="AN41" s="212" t="s">
        <v>145</v>
      </c>
      <c r="AO41" s="209"/>
      <c r="AP41" s="209" t="s">
        <v>146</v>
      </c>
      <c r="AQ41" s="212" t="s">
        <v>145</v>
      </c>
      <c r="AR41" s="209">
        <f t="shared" si="0"/>
        <v>0</v>
      </c>
      <c r="AS41" s="209" t="s">
        <v>146</v>
      </c>
      <c r="AT41" s="212" t="s">
        <v>145</v>
      </c>
      <c r="AU41" s="209"/>
      <c r="AV41" s="211" t="s">
        <v>146</v>
      </c>
      <c r="AW41" s="208" t="s">
        <v>145</v>
      </c>
      <c r="AX41" s="209">
        <f t="shared" si="17"/>
        <v>0</v>
      </c>
      <c r="AY41" s="209" t="s">
        <v>146</v>
      </c>
      <c r="AZ41" s="212" t="s">
        <v>145</v>
      </c>
      <c r="BA41" s="209"/>
      <c r="BB41" s="209" t="s">
        <v>146</v>
      </c>
      <c r="BC41" s="212" t="s">
        <v>145</v>
      </c>
      <c r="BD41" s="209"/>
      <c r="BE41" s="209" t="s">
        <v>146</v>
      </c>
      <c r="BF41" s="212" t="s">
        <v>145</v>
      </c>
      <c r="BG41" s="209">
        <f t="shared" si="18"/>
        <v>0</v>
      </c>
      <c r="BH41" s="209" t="s">
        <v>146</v>
      </c>
      <c r="BI41" s="212" t="s">
        <v>145</v>
      </c>
      <c r="BJ41" s="209"/>
      <c r="BK41" s="209" t="s">
        <v>146</v>
      </c>
      <c r="BL41" s="644">
        <f>BL39+1</f>
        <v>10</v>
      </c>
      <c r="BM41" s="579">
        <f>BM39+1</f>
        <v>10</v>
      </c>
      <c r="BN41" s="574" t="s">
        <v>159</v>
      </c>
      <c r="BO41" s="209" t="s">
        <v>145</v>
      </c>
      <c r="BP41" s="209">
        <f t="shared" si="21"/>
        <v>0</v>
      </c>
      <c r="BQ41" s="209" t="s">
        <v>146</v>
      </c>
      <c r="BR41" s="212" t="s">
        <v>145</v>
      </c>
      <c r="BS41" s="209"/>
      <c r="BT41" s="209" t="s">
        <v>146</v>
      </c>
      <c r="BU41" s="212" t="s">
        <v>145</v>
      </c>
      <c r="BV41" s="209"/>
      <c r="BW41" s="209" t="s">
        <v>146</v>
      </c>
      <c r="BX41" s="212" t="s">
        <v>145</v>
      </c>
      <c r="BY41" s="209">
        <f t="shared" si="19"/>
        <v>0</v>
      </c>
      <c r="BZ41" s="209" t="s">
        <v>146</v>
      </c>
      <c r="CA41" s="212" t="s">
        <v>145</v>
      </c>
      <c r="CB41" s="209"/>
      <c r="CC41" s="209" t="s">
        <v>146</v>
      </c>
      <c r="CD41" s="208" t="s">
        <v>145</v>
      </c>
      <c r="CE41" s="209">
        <f t="shared" si="22"/>
        <v>611.9916</v>
      </c>
      <c r="CF41" s="209" t="s">
        <v>146</v>
      </c>
      <c r="CG41" s="212" t="s">
        <v>145</v>
      </c>
      <c r="CH41" s="209">
        <v>611.9916</v>
      </c>
      <c r="CI41" s="209" t="s">
        <v>146</v>
      </c>
      <c r="CJ41" s="212" t="s">
        <v>145</v>
      </c>
      <c r="CK41" s="209"/>
      <c r="CL41" s="209" t="s">
        <v>146</v>
      </c>
      <c r="CM41" s="212" t="s">
        <v>145</v>
      </c>
      <c r="CN41" s="209">
        <f t="shared" si="9"/>
        <v>611.9916</v>
      </c>
      <c r="CO41" s="209" t="s">
        <v>146</v>
      </c>
      <c r="CP41" s="212" t="s">
        <v>145</v>
      </c>
      <c r="CQ41" s="209"/>
      <c r="CR41" s="211" t="s">
        <v>146</v>
      </c>
      <c r="CS41" s="209"/>
      <c r="CT41" s="208" t="s">
        <v>145</v>
      </c>
      <c r="CU41" s="209">
        <f t="shared" si="23"/>
        <v>0</v>
      </c>
      <c r="CV41" s="209" t="s">
        <v>146</v>
      </c>
      <c r="CW41" s="212" t="s">
        <v>145</v>
      </c>
      <c r="CX41" s="209"/>
      <c r="CY41" s="209" t="s">
        <v>146</v>
      </c>
      <c r="CZ41" s="212" t="s">
        <v>145</v>
      </c>
      <c r="DA41" s="209"/>
      <c r="DB41" s="209" t="s">
        <v>146</v>
      </c>
      <c r="DC41" s="212" t="s">
        <v>145</v>
      </c>
      <c r="DD41" s="209">
        <f t="shared" si="20"/>
        <v>0</v>
      </c>
      <c r="DE41" s="209" t="s">
        <v>146</v>
      </c>
      <c r="DF41" s="212" t="s">
        <v>145</v>
      </c>
      <c r="DG41" s="209"/>
      <c r="DH41" s="211" t="s">
        <v>146</v>
      </c>
      <c r="DI41" s="655">
        <f>DI39+1</f>
        <v>10</v>
      </c>
      <c r="DJ41" s="199"/>
    </row>
    <row r="42" spans="1:114" s="197" customFormat="1" ht="15.75" customHeight="1">
      <c r="A42" s="580"/>
      <c r="B42" s="574"/>
      <c r="C42" s="209"/>
      <c r="D42" s="254">
        <f t="shared" si="13"/>
        <v>0</v>
      </c>
      <c r="E42" s="209"/>
      <c r="F42" s="427"/>
      <c r="G42" s="252"/>
      <c r="H42" s="252"/>
      <c r="I42" s="427"/>
      <c r="J42" s="252"/>
      <c r="K42" s="252"/>
      <c r="L42" s="427"/>
      <c r="M42" s="254">
        <f t="shared" si="14"/>
        <v>0</v>
      </c>
      <c r="N42" s="252"/>
      <c r="O42" s="212"/>
      <c r="P42" s="209"/>
      <c r="Q42" s="209"/>
      <c r="R42" s="208"/>
      <c r="S42" s="254">
        <f t="shared" si="24"/>
        <v>0</v>
      </c>
      <c r="T42" s="209"/>
      <c r="U42" s="212"/>
      <c r="V42" s="209"/>
      <c r="W42" s="209"/>
      <c r="X42" s="212"/>
      <c r="Y42" s="209"/>
      <c r="Z42" s="209"/>
      <c r="AA42" s="212"/>
      <c r="AB42" s="254">
        <f t="shared" si="15"/>
        <v>0</v>
      </c>
      <c r="AC42" s="209"/>
      <c r="AD42" s="212"/>
      <c r="AE42" s="209"/>
      <c r="AF42" s="211"/>
      <c r="AG42" s="209"/>
      <c r="AH42" s="208"/>
      <c r="AI42" s="254">
        <f t="shared" si="16"/>
        <v>0</v>
      </c>
      <c r="AJ42" s="209"/>
      <c r="AK42" s="212"/>
      <c r="AL42" s="209"/>
      <c r="AM42" s="209"/>
      <c r="AN42" s="212"/>
      <c r="AO42" s="209"/>
      <c r="AP42" s="209"/>
      <c r="AQ42" s="212"/>
      <c r="AR42" s="254">
        <f t="shared" si="0"/>
        <v>0</v>
      </c>
      <c r="AS42" s="209"/>
      <c r="AT42" s="212"/>
      <c r="AU42" s="209"/>
      <c r="AV42" s="211"/>
      <c r="AW42" s="208"/>
      <c r="AX42" s="254">
        <f t="shared" si="17"/>
        <v>0</v>
      </c>
      <c r="AY42" s="209"/>
      <c r="AZ42" s="212"/>
      <c r="BA42" s="209"/>
      <c r="BB42" s="209"/>
      <c r="BC42" s="212"/>
      <c r="BD42" s="209"/>
      <c r="BE42" s="209"/>
      <c r="BF42" s="212"/>
      <c r="BG42" s="254">
        <f t="shared" si="18"/>
        <v>0</v>
      </c>
      <c r="BH42" s="209"/>
      <c r="BI42" s="212"/>
      <c r="BJ42" s="209"/>
      <c r="BK42" s="209"/>
      <c r="BL42" s="645"/>
      <c r="BM42" s="580"/>
      <c r="BN42" s="574"/>
      <c r="BO42" s="209"/>
      <c r="BP42" s="254">
        <f t="shared" si="21"/>
        <v>0</v>
      </c>
      <c r="BQ42" s="209"/>
      <c r="BR42" s="212"/>
      <c r="BS42" s="209"/>
      <c r="BT42" s="209"/>
      <c r="BU42" s="212"/>
      <c r="BV42" s="209"/>
      <c r="BW42" s="209"/>
      <c r="BX42" s="212"/>
      <c r="BY42" s="254">
        <f t="shared" si="19"/>
        <v>0</v>
      </c>
      <c r="BZ42" s="209"/>
      <c r="CA42" s="212"/>
      <c r="CB42" s="209"/>
      <c r="CC42" s="209"/>
      <c r="CD42" s="208"/>
      <c r="CE42" s="254">
        <f t="shared" si="22"/>
        <v>0</v>
      </c>
      <c r="CF42" s="209"/>
      <c r="CG42" s="212"/>
      <c r="CH42" s="209"/>
      <c r="CI42" s="209"/>
      <c r="CJ42" s="212"/>
      <c r="CK42" s="209"/>
      <c r="CL42" s="209"/>
      <c r="CM42" s="212"/>
      <c r="CN42" s="254">
        <f t="shared" si="9"/>
        <v>0</v>
      </c>
      <c r="CO42" s="209"/>
      <c r="CP42" s="212"/>
      <c r="CQ42" s="209"/>
      <c r="CR42" s="211"/>
      <c r="CS42" s="209"/>
      <c r="CT42" s="208"/>
      <c r="CU42" s="254">
        <f t="shared" si="23"/>
        <v>0</v>
      </c>
      <c r="CV42" s="209"/>
      <c r="CW42" s="212"/>
      <c r="CX42" s="209"/>
      <c r="CY42" s="209"/>
      <c r="CZ42" s="212"/>
      <c r="DA42" s="209"/>
      <c r="DB42" s="209"/>
      <c r="DC42" s="212"/>
      <c r="DD42" s="254">
        <f t="shared" si="20"/>
        <v>0</v>
      </c>
      <c r="DE42" s="209"/>
      <c r="DF42" s="212"/>
      <c r="DG42" s="209"/>
      <c r="DH42" s="211"/>
      <c r="DI42" s="656"/>
      <c r="DJ42" s="199"/>
    </row>
    <row r="43" spans="1:114" s="197" customFormat="1" ht="15.75" customHeight="1">
      <c r="A43" s="579">
        <f>A41+1</f>
        <v>11</v>
      </c>
      <c r="B43" s="578" t="s">
        <v>160</v>
      </c>
      <c r="C43" s="258" t="s">
        <v>145</v>
      </c>
      <c r="D43" s="209">
        <f t="shared" si="13"/>
        <v>0</v>
      </c>
      <c r="E43" s="258" t="s">
        <v>146</v>
      </c>
      <c r="F43" s="430" t="s">
        <v>145</v>
      </c>
      <c r="G43" s="260"/>
      <c r="H43" s="260" t="s">
        <v>146</v>
      </c>
      <c r="I43" s="430" t="s">
        <v>145</v>
      </c>
      <c r="J43" s="260"/>
      <c r="K43" s="260" t="s">
        <v>146</v>
      </c>
      <c r="L43" s="430" t="s">
        <v>145</v>
      </c>
      <c r="M43" s="209">
        <f t="shared" si="14"/>
        <v>0</v>
      </c>
      <c r="N43" s="260" t="s">
        <v>146</v>
      </c>
      <c r="O43" s="259" t="s">
        <v>145</v>
      </c>
      <c r="P43" s="258"/>
      <c r="Q43" s="258" t="s">
        <v>146</v>
      </c>
      <c r="R43" s="261" t="s">
        <v>145</v>
      </c>
      <c r="S43" s="209">
        <f t="shared" si="24"/>
        <v>0</v>
      </c>
      <c r="T43" s="258" t="s">
        <v>146</v>
      </c>
      <c r="U43" s="259" t="s">
        <v>145</v>
      </c>
      <c r="V43" s="258"/>
      <c r="W43" s="258" t="s">
        <v>146</v>
      </c>
      <c r="X43" s="259" t="s">
        <v>145</v>
      </c>
      <c r="Y43" s="258"/>
      <c r="Z43" s="258" t="s">
        <v>146</v>
      </c>
      <c r="AA43" s="259" t="s">
        <v>145</v>
      </c>
      <c r="AB43" s="209">
        <f t="shared" si="15"/>
        <v>0</v>
      </c>
      <c r="AC43" s="258" t="s">
        <v>146</v>
      </c>
      <c r="AD43" s="259" t="s">
        <v>145</v>
      </c>
      <c r="AE43" s="258"/>
      <c r="AF43" s="262" t="s">
        <v>146</v>
      </c>
      <c r="AG43" s="209"/>
      <c r="AH43" s="261" t="s">
        <v>145</v>
      </c>
      <c r="AI43" s="209">
        <f t="shared" si="16"/>
        <v>0</v>
      </c>
      <c r="AJ43" s="258" t="s">
        <v>146</v>
      </c>
      <c r="AK43" s="259" t="s">
        <v>145</v>
      </c>
      <c r="AL43" s="258"/>
      <c r="AM43" s="258" t="s">
        <v>146</v>
      </c>
      <c r="AN43" s="259" t="s">
        <v>145</v>
      </c>
      <c r="AO43" s="258"/>
      <c r="AP43" s="258" t="s">
        <v>146</v>
      </c>
      <c r="AQ43" s="259" t="s">
        <v>145</v>
      </c>
      <c r="AR43" s="209">
        <f t="shared" si="0"/>
        <v>0</v>
      </c>
      <c r="AS43" s="258" t="s">
        <v>146</v>
      </c>
      <c r="AT43" s="259" t="s">
        <v>145</v>
      </c>
      <c r="AU43" s="258"/>
      <c r="AV43" s="262" t="s">
        <v>146</v>
      </c>
      <c r="AW43" s="261" t="s">
        <v>145</v>
      </c>
      <c r="AX43" s="209">
        <f t="shared" si="17"/>
        <v>0</v>
      </c>
      <c r="AY43" s="258" t="s">
        <v>146</v>
      </c>
      <c r="AZ43" s="259" t="s">
        <v>145</v>
      </c>
      <c r="BA43" s="258"/>
      <c r="BB43" s="258" t="s">
        <v>146</v>
      </c>
      <c r="BC43" s="259" t="s">
        <v>145</v>
      </c>
      <c r="BD43" s="258"/>
      <c r="BE43" s="258" t="s">
        <v>146</v>
      </c>
      <c r="BF43" s="259" t="s">
        <v>145</v>
      </c>
      <c r="BG43" s="209">
        <f t="shared" si="18"/>
        <v>0</v>
      </c>
      <c r="BH43" s="258" t="s">
        <v>146</v>
      </c>
      <c r="BI43" s="259" t="s">
        <v>145</v>
      </c>
      <c r="BJ43" s="258"/>
      <c r="BK43" s="258" t="s">
        <v>146</v>
      </c>
      <c r="BL43" s="644">
        <f>BL41+1</f>
        <v>11</v>
      </c>
      <c r="BM43" s="579">
        <f>BM41+1</f>
        <v>11</v>
      </c>
      <c r="BN43" s="578" t="s">
        <v>160</v>
      </c>
      <c r="BO43" s="258" t="s">
        <v>145</v>
      </c>
      <c r="BP43" s="209">
        <f t="shared" si="21"/>
        <v>0</v>
      </c>
      <c r="BQ43" s="258" t="s">
        <v>146</v>
      </c>
      <c r="BR43" s="259" t="s">
        <v>145</v>
      </c>
      <c r="BS43" s="258"/>
      <c r="BT43" s="258" t="s">
        <v>146</v>
      </c>
      <c r="BU43" s="259" t="s">
        <v>145</v>
      </c>
      <c r="BV43" s="258"/>
      <c r="BW43" s="258" t="s">
        <v>146</v>
      </c>
      <c r="BX43" s="259" t="s">
        <v>145</v>
      </c>
      <c r="BY43" s="209">
        <f t="shared" si="19"/>
        <v>0</v>
      </c>
      <c r="BZ43" s="258" t="s">
        <v>146</v>
      </c>
      <c r="CA43" s="259" t="s">
        <v>145</v>
      </c>
      <c r="CB43" s="258"/>
      <c r="CC43" s="258" t="s">
        <v>146</v>
      </c>
      <c r="CD43" s="261" t="s">
        <v>145</v>
      </c>
      <c r="CE43" s="209">
        <f t="shared" si="22"/>
        <v>1851.5429</v>
      </c>
      <c r="CF43" s="258" t="s">
        <v>146</v>
      </c>
      <c r="CG43" s="259" t="s">
        <v>145</v>
      </c>
      <c r="CH43" s="258">
        <v>1851.5429</v>
      </c>
      <c r="CI43" s="258" t="s">
        <v>146</v>
      </c>
      <c r="CJ43" s="259" t="s">
        <v>145</v>
      </c>
      <c r="CK43" s="258"/>
      <c r="CL43" s="258" t="s">
        <v>146</v>
      </c>
      <c r="CM43" s="259" t="s">
        <v>145</v>
      </c>
      <c r="CN43" s="209">
        <f t="shared" si="9"/>
        <v>1851.5429</v>
      </c>
      <c r="CO43" s="258" t="s">
        <v>146</v>
      </c>
      <c r="CP43" s="259" t="s">
        <v>145</v>
      </c>
      <c r="CQ43" s="258"/>
      <c r="CR43" s="262" t="s">
        <v>146</v>
      </c>
      <c r="CS43" s="209"/>
      <c r="CT43" s="261" t="s">
        <v>145</v>
      </c>
      <c r="CU43" s="209">
        <f t="shared" si="23"/>
        <v>0</v>
      </c>
      <c r="CV43" s="258" t="s">
        <v>146</v>
      </c>
      <c r="CW43" s="259" t="s">
        <v>145</v>
      </c>
      <c r="CX43" s="258"/>
      <c r="CY43" s="258" t="s">
        <v>146</v>
      </c>
      <c r="CZ43" s="259" t="s">
        <v>145</v>
      </c>
      <c r="DA43" s="258"/>
      <c r="DB43" s="258" t="s">
        <v>146</v>
      </c>
      <c r="DC43" s="259" t="s">
        <v>145</v>
      </c>
      <c r="DD43" s="209">
        <f t="shared" si="20"/>
        <v>0</v>
      </c>
      <c r="DE43" s="258" t="s">
        <v>146</v>
      </c>
      <c r="DF43" s="259" t="s">
        <v>145</v>
      </c>
      <c r="DG43" s="258"/>
      <c r="DH43" s="262" t="s">
        <v>146</v>
      </c>
      <c r="DI43" s="655">
        <f>DI41+1</f>
        <v>11</v>
      </c>
      <c r="DJ43" s="199"/>
    </row>
    <row r="44" spans="1:114" s="197" customFormat="1" ht="15.75" customHeight="1">
      <c r="A44" s="580"/>
      <c r="B44" s="611"/>
      <c r="C44" s="254"/>
      <c r="D44" s="254">
        <f t="shared" si="13"/>
        <v>0</v>
      </c>
      <c r="E44" s="254"/>
      <c r="F44" s="431"/>
      <c r="G44" s="263"/>
      <c r="H44" s="263"/>
      <c r="I44" s="431"/>
      <c r="J44" s="263"/>
      <c r="K44" s="263"/>
      <c r="L44" s="431"/>
      <c r="M44" s="254">
        <f t="shared" si="14"/>
        <v>0</v>
      </c>
      <c r="N44" s="263"/>
      <c r="O44" s="255"/>
      <c r="P44" s="254"/>
      <c r="Q44" s="254"/>
      <c r="R44" s="264"/>
      <c r="S44" s="254">
        <f t="shared" si="24"/>
        <v>0</v>
      </c>
      <c r="T44" s="254"/>
      <c r="U44" s="255"/>
      <c r="V44" s="254"/>
      <c r="W44" s="254"/>
      <c r="X44" s="255"/>
      <c r="Y44" s="254"/>
      <c r="Z44" s="254"/>
      <c r="AA44" s="255"/>
      <c r="AB44" s="254">
        <f t="shared" si="15"/>
        <v>0</v>
      </c>
      <c r="AC44" s="254"/>
      <c r="AD44" s="255"/>
      <c r="AE44" s="254"/>
      <c r="AF44" s="265"/>
      <c r="AG44" s="209"/>
      <c r="AH44" s="264"/>
      <c r="AI44" s="254">
        <f t="shared" si="16"/>
        <v>0</v>
      </c>
      <c r="AJ44" s="254"/>
      <c r="AK44" s="255"/>
      <c r="AL44" s="254"/>
      <c r="AM44" s="254"/>
      <c r="AN44" s="255"/>
      <c r="AO44" s="254"/>
      <c r="AP44" s="254"/>
      <c r="AQ44" s="255"/>
      <c r="AR44" s="254">
        <f t="shared" si="0"/>
        <v>0</v>
      </c>
      <c r="AS44" s="254"/>
      <c r="AT44" s="255"/>
      <c r="AU44" s="254"/>
      <c r="AV44" s="265"/>
      <c r="AW44" s="264"/>
      <c r="AX44" s="254">
        <f t="shared" si="17"/>
        <v>0</v>
      </c>
      <c r="AY44" s="254"/>
      <c r="AZ44" s="255"/>
      <c r="BA44" s="254"/>
      <c r="BB44" s="254"/>
      <c r="BC44" s="255"/>
      <c r="BD44" s="254"/>
      <c r="BE44" s="254"/>
      <c r="BF44" s="255"/>
      <c r="BG44" s="254">
        <f t="shared" si="18"/>
        <v>0</v>
      </c>
      <c r="BH44" s="254"/>
      <c r="BI44" s="255"/>
      <c r="BJ44" s="254"/>
      <c r="BK44" s="254"/>
      <c r="BL44" s="645"/>
      <c r="BM44" s="580"/>
      <c r="BN44" s="611"/>
      <c r="BO44" s="254"/>
      <c r="BP44" s="254">
        <f t="shared" si="21"/>
        <v>0</v>
      </c>
      <c r="BQ44" s="254"/>
      <c r="BR44" s="255"/>
      <c r="BS44" s="254"/>
      <c r="BT44" s="254"/>
      <c r="BU44" s="255"/>
      <c r="BV44" s="254"/>
      <c r="BW44" s="254"/>
      <c r="BX44" s="255"/>
      <c r="BY44" s="254">
        <f t="shared" si="19"/>
        <v>0</v>
      </c>
      <c r="BZ44" s="254"/>
      <c r="CA44" s="255"/>
      <c r="CB44" s="254"/>
      <c r="CC44" s="254"/>
      <c r="CD44" s="264"/>
      <c r="CE44" s="254">
        <f t="shared" si="22"/>
        <v>4.14</v>
      </c>
      <c r="CF44" s="254"/>
      <c r="CG44" s="255"/>
      <c r="CH44" s="254">
        <v>4.14</v>
      </c>
      <c r="CI44" s="254"/>
      <c r="CJ44" s="255"/>
      <c r="CK44" s="254"/>
      <c r="CL44" s="254"/>
      <c r="CM44" s="255"/>
      <c r="CN44" s="254">
        <f t="shared" si="9"/>
        <v>4.14</v>
      </c>
      <c r="CO44" s="254"/>
      <c r="CP44" s="255"/>
      <c r="CQ44" s="254"/>
      <c r="CR44" s="265"/>
      <c r="CS44" s="209"/>
      <c r="CT44" s="264"/>
      <c r="CU44" s="254">
        <f t="shared" si="23"/>
        <v>0</v>
      </c>
      <c r="CV44" s="254"/>
      <c r="CW44" s="255"/>
      <c r="CX44" s="254"/>
      <c r="CY44" s="254"/>
      <c r="CZ44" s="255"/>
      <c r="DA44" s="254"/>
      <c r="DB44" s="254"/>
      <c r="DC44" s="255"/>
      <c r="DD44" s="254">
        <f t="shared" si="20"/>
        <v>0</v>
      </c>
      <c r="DE44" s="254"/>
      <c r="DF44" s="255"/>
      <c r="DG44" s="254"/>
      <c r="DH44" s="265"/>
      <c r="DI44" s="656"/>
      <c r="DJ44" s="199"/>
    </row>
    <row r="45" spans="1:114" s="197" customFormat="1" ht="15.75" customHeight="1">
      <c r="A45" s="579">
        <f>A43+1</f>
        <v>12</v>
      </c>
      <c r="B45" s="574" t="s">
        <v>161</v>
      </c>
      <c r="C45" s="209" t="s">
        <v>145</v>
      </c>
      <c r="D45" s="209">
        <f t="shared" si="13"/>
        <v>0</v>
      </c>
      <c r="E45" s="209" t="s">
        <v>146</v>
      </c>
      <c r="F45" s="427" t="s">
        <v>145</v>
      </c>
      <c r="G45" s="252"/>
      <c r="H45" s="252" t="s">
        <v>146</v>
      </c>
      <c r="I45" s="427" t="s">
        <v>145</v>
      </c>
      <c r="J45" s="252"/>
      <c r="K45" s="252" t="s">
        <v>146</v>
      </c>
      <c r="L45" s="427" t="s">
        <v>145</v>
      </c>
      <c r="M45" s="209">
        <f t="shared" si="14"/>
        <v>0</v>
      </c>
      <c r="N45" s="252" t="s">
        <v>146</v>
      </c>
      <c r="O45" s="212" t="s">
        <v>145</v>
      </c>
      <c r="P45" s="209"/>
      <c r="Q45" s="209" t="s">
        <v>146</v>
      </c>
      <c r="R45" s="208" t="s">
        <v>145</v>
      </c>
      <c r="S45" s="209">
        <f t="shared" si="24"/>
        <v>0</v>
      </c>
      <c r="T45" s="209" t="s">
        <v>146</v>
      </c>
      <c r="U45" s="212" t="s">
        <v>145</v>
      </c>
      <c r="V45" s="209"/>
      <c r="W45" s="209" t="s">
        <v>146</v>
      </c>
      <c r="X45" s="212" t="s">
        <v>145</v>
      </c>
      <c r="Y45" s="209"/>
      <c r="Z45" s="209" t="s">
        <v>146</v>
      </c>
      <c r="AA45" s="212" t="s">
        <v>145</v>
      </c>
      <c r="AB45" s="209">
        <f t="shared" si="15"/>
        <v>0</v>
      </c>
      <c r="AC45" s="209" t="s">
        <v>146</v>
      </c>
      <c r="AD45" s="212" t="s">
        <v>145</v>
      </c>
      <c r="AE45" s="209"/>
      <c r="AF45" s="211" t="s">
        <v>146</v>
      </c>
      <c r="AG45" s="209"/>
      <c r="AH45" s="208" t="s">
        <v>145</v>
      </c>
      <c r="AI45" s="209">
        <f t="shared" si="16"/>
        <v>0</v>
      </c>
      <c r="AJ45" s="209" t="s">
        <v>146</v>
      </c>
      <c r="AK45" s="212" t="s">
        <v>145</v>
      </c>
      <c r="AL45" s="209"/>
      <c r="AM45" s="209" t="s">
        <v>146</v>
      </c>
      <c r="AN45" s="212" t="s">
        <v>145</v>
      </c>
      <c r="AO45" s="209"/>
      <c r="AP45" s="209" t="s">
        <v>146</v>
      </c>
      <c r="AQ45" s="212" t="s">
        <v>145</v>
      </c>
      <c r="AR45" s="209">
        <f aca="true" t="shared" si="25" ref="AR45:AR66">AL45+AO45</f>
        <v>0</v>
      </c>
      <c r="AS45" s="209" t="s">
        <v>146</v>
      </c>
      <c r="AT45" s="212" t="s">
        <v>145</v>
      </c>
      <c r="AU45" s="209"/>
      <c r="AV45" s="211" t="s">
        <v>146</v>
      </c>
      <c r="AW45" s="208" t="s">
        <v>145</v>
      </c>
      <c r="AX45" s="209">
        <f t="shared" si="17"/>
        <v>0</v>
      </c>
      <c r="AY45" s="209" t="s">
        <v>146</v>
      </c>
      <c r="AZ45" s="212" t="s">
        <v>145</v>
      </c>
      <c r="BA45" s="209"/>
      <c r="BB45" s="209" t="s">
        <v>146</v>
      </c>
      <c r="BC45" s="212" t="s">
        <v>145</v>
      </c>
      <c r="BD45" s="209"/>
      <c r="BE45" s="209" t="s">
        <v>146</v>
      </c>
      <c r="BF45" s="212" t="s">
        <v>145</v>
      </c>
      <c r="BG45" s="209">
        <f t="shared" si="18"/>
        <v>0</v>
      </c>
      <c r="BH45" s="209" t="s">
        <v>146</v>
      </c>
      <c r="BI45" s="212" t="s">
        <v>145</v>
      </c>
      <c r="BJ45" s="209"/>
      <c r="BK45" s="209" t="s">
        <v>146</v>
      </c>
      <c r="BL45" s="644">
        <f>BL43+1</f>
        <v>12</v>
      </c>
      <c r="BM45" s="579">
        <f>BM43+1</f>
        <v>12</v>
      </c>
      <c r="BN45" s="574" t="s">
        <v>161</v>
      </c>
      <c r="BO45" s="209" t="s">
        <v>145</v>
      </c>
      <c r="BP45" s="209">
        <f t="shared" si="21"/>
        <v>0</v>
      </c>
      <c r="BQ45" s="209" t="s">
        <v>146</v>
      </c>
      <c r="BR45" s="212" t="s">
        <v>145</v>
      </c>
      <c r="BS45" s="209"/>
      <c r="BT45" s="209" t="s">
        <v>146</v>
      </c>
      <c r="BU45" s="212" t="s">
        <v>145</v>
      </c>
      <c r="BV45" s="209"/>
      <c r="BW45" s="209" t="s">
        <v>146</v>
      </c>
      <c r="BX45" s="212" t="s">
        <v>145</v>
      </c>
      <c r="BY45" s="209">
        <f t="shared" si="19"/>
        <v>0</v>
      </c>
      <c r="BZ45" s="209" t="s">
        <v>146</v>
      </c>
      <c r="CA45" s="212" t="s">
        <v>145</v>
      </c>
      <c r="CB45" s="209"/>
      <c r="CC45" s="209" t="s">
        <v>146</v>
      </c>
      <c r="CD45" s="208" t="s">
        <v>145</v>
      </c>
      <c r="CE45" s="209">
        <f t="shared" si="22"/>
        <v>20.8569</v>
      </c>
      <c r="CF45" s="209" t="s">
        <v>146</v>
      </c>
      <c r="CG45" s="212" t="s">
        <v>145</v>
      </c>
      <c r="CH45" s="209"/>
      <c r="CI45" s="209" t="s">
        <v>146</v>
      </c>
      <c r="CJ45" s="212" t="s">
        <v>145</v>
      </c>
      <c r="CK45" s="209"/>
      <c r="CL45" s="209" t="s">
        <v>146</v>
      </c>
      <c r="CM45" s="212" t="s">
        <v>145</v>
      </c>
      <c r="CN45" s="209">
        <f t="shared" si="9"/>
        <v>0</v>
      </c>
      <c r="CO45" s="209" t="s">
        <v>146</v>
      </c>
      <c r="CP45" s="212" t="s">
        <v>145</v>
      </c>
      <c r="CQ45" s="209">
        <v>20.8569</v>
      </c>
      <c r="CR45" s="211" t="s">
        <v>146</v>
      </c>
      <c r="CS45" s="209"/>
      <c r="CT45" s="208" t="s">
        <v>145</v>
      </c>
      <c r="CU45" s="209">
        <f t="shared" si="23"/>
        <v>0</v>
      </c>
      <c r="CV45" s="209" t="s">
        <v>146</v>
      </c>
      <c r="CW45" s="212" t="s">
        <v>145</v>
      </c>
      <c r="CX45" s="209"/>
      <c r="CY45" s="209" t="s">
        <v>146</v>
      </c>
      <c r="CZ45" s="212" t="s">
        <v>145</v>
      </c>
      <c r="DA45" s="209"/>
      <c r="DB45" s="209" t="s">
        <v>146</v>
      </c>
      <c r="DC45" s="212" t="s">
        <v>145</v>
      </c>
      <c r="DD45" s="209">
        <f t="shared" si="20"/>
        <v>0</v>
      </c>
      <c r="DE45" s="209" t="s">
        <v>146</v>
      </c>
      <c r="DF45" s="212" t="s">
        <v>145</v>
      </c>
      <c r="DG45" s="209"/>
      <c r="DH45" s="211" t="s">
        <v>146</v>
      </c>
      <c r="DI45" s="655">
        <f>DI43+1</f>
        <v>12</v>
      </c>
      <c r="DJ45" s="199"/>
    </row>
    <row r="46" spans="1:114" s="197" customFormat="1" ht="15.75" customHeight="1" thickBot="1">
      <c r="A46" s="580"/>
      <c r="B46" s="574"/>
      <c r="C46" s="216"/>
      <c r="D46" s="209">
        <f t="shared" si="13"/>
        <v>0</v>
      </c>
      <c r="E46" s="217"/>
      <c r="F46" s="432"/>
      <c r="G46" s="280"/>
      <c r="H46" s="280"/>
      <c r="I46" s="432"/>
      <c r="J46" s="280"/>
      <c r="K46" s="280"/>
      <c r="L46" s="432"/>
      <c r="M46" s="217">
        <f t="shared" si="14"/>
        <v>0</v>
      </c>
      <c r="N46" s="280"/>
      <c r="O46" s="218"/>
      <c r="P46" s="217"/>
      <c r="Q46" s="217"/>
      <c r="R46" s="216"/>
      <c r="S46" s="209">
        <f t="shared" si="24"/>
        <v>0</v>
      </c>
      <c r="T46" s="217"/>
      <c r="U46" s="218"/>
      <c r="V46" s="217"/>
      <c r="W46" s="217"/>
      <c r="X46" s="218"/>
      <c r="Y46" s="217"/>
      <c r="Z46" s="217"/>
      <c r="AA46" s="218"/>
      <c r="AB46" s="217">
        <f t="shared" si="15"/>
        <v>0</v>
      </c>
      <c r="AC46" s="217"/>
      <c r="AD46" s="218"/>
      <c r="AE46" s="217"/>
      <c r="AF46" s="219"/>
      <c r="AG46" s="209"/>
      <c r="AH46" s="208"/>
      <c r="AI46" s="217">
        <f t="shared" si="16"/>
        <v>0</v>
      </c>
      <c r="AJ46" s="209"/>
      <c r="AK46" s="212"/>
      <c r="AL46" s="209"/>
      <c r="AM46" s="209"/>
      <c r="AN46" s="212"/>
      <c r="AO46" s="209"/>
      <c r="AP46" s="209"/>
      <c r="AQ46" s="212"/>
      <c r="AR46" s="254">
        <f t="shared" si="25"/>
        <v>0</v>
      </c>
      <c r="AS46" s="209"/>
      <c r="AT46" s="212"/>
      <c r="AU46" s="209"/>
      <c r="AV46" s="211"/>
      <c r="AW46" s="208"/>
      <c r="AX46" s="217">
        <f t="shared" si="17"/>
        <v>0</v>
      </c>
      <c r="AY46" s="209"/>
      <c r="AZ46" s="212"/>
      <c r="BA46" s="209"/>
      <c r="BB46" s="209"/>
      <c r="BC46" s="212"/>
      <c r="BD46" s="209"/>
      <c r="BE46" s="209"/>
      <c r="BF46" s="212"/>
      <c r="BG46" s="217">
        <f t="shared" si="18"/>
        <v>0</v>
      </c>
      <c r="BH46" s="209"/>
      <c r="BI46" s="212"/>
      <c r="BJ46" s="209"/>
      <c r="BK46" s="209"/>
      <c r="BL46" s="645"/>
      <c r="BM46" s="580"/>
      <c r="BN46" s="574"/>
      <c r="BO46" s="209"/>
      <c r="BP46" s="217">
        <f t="shared" si="21"/>
        <v>0</v>
      </c>
      <c r="BQ46" s="209"/>
      <c r="BR46" s="212"/>
      <c r="BS46" s="209"/>
      <c r="BT46" s="209"/>
      <c r="BU46" s="212"/>
      <c r="BV46" s="209"/>
      <c r="BW46" s="209"/>
      <c r="BX46" s="212"/>
      <c r="BY46" s="209">
        <f t="shared" si="19"/>
        <v>0</v>
      </c>
      <c r="BZ46" s="209"/>
      <c r="CA46" s="212"/>
      <c r="CB46" s="209"/>
      <c r="CC46" s="209"/>
      <c r="CD46" s="208"/>
      <c r="CE46" s="217">
        <f t="shared" si="22"/>
        <v>0</v>
      </c>
      <c r="CF46" s="209"/>
      <c r="CG46" s="218"/>
      <c r="CH46" s="217"/>
      <c r="CI46" s="424"/>
      <c r="CJ46" s="212"/>
      <c r="CK46" s="209"/>
      <c r="CL46" s="209"/>
      <c r="CM46" s="212"/>
      <c r="CN46" s="209">
        <f t="shared" si="9"/>
        <v>0</v>
      </c>
      <c r="CO46" s="209"/>
      <c r="CP46" s="218"/>
      <c r="CQ46" s="217"/>
      <c r="CR46" s="219"/>
      <c r="CS46" s="209"/>
      <c r="CT46" s="208"/>
      <c r="CU46" s="217">
        <f t="shared" si="23"/>
        <v>0</v>
      </c>
      <c r="CV46" s="209"/>
      <c r="CW46" s="212"/>
      <c r="CX46" s="209"/>
      <c r="CY46" s="209"/>
      <c r="CZ46" s="212"/>
      <c r="DA46" s="209"/>
      <c r="DB46" s="209"/>
      <c r="DC46" s="212"/>
      <c r="DD46" s="217">
        <f t="shared" si="20"/>
        <v>0</v>
      </c>
      <c r="DE46" s="209"/>
      <c r="DF46" s="212"/>
      <c r="DG46" s="209"/>
      <c r="DH46" s="211"/>
      <c r="DI46" s="656"/>
      <c r="DJ46" s="199"/>
    </row>
    <row r="47" spans="1:113" s="228" customFormat="1" ht="15.75" customHeight="1">
      <c r="A47" s="569" t="s">
        <v>162</v>
      </c>
      <c r="B47" s="581"/>
      <c r="C47" s="225" t="s">
        <v>312</v>
      </c>
      <c r="D47" s="230">
        <f t="shared" si="13"/>
        <v>0</v>
      </c>
      <c r="E47" s="220" t="s">
        <v>313</v>
      </c>
      <c r="F47" s="221" t="s">
        <v>312</v>
      </c>
      <c r="G47" s="230">
        <f>G49+G59+その４!G9+その４!G15</f>
        <v>0</v>
      </c>
      <c r="H47" s="222" t="s">
        <v>313</v>
      </c>
      <c r="I47" s="220" t="s">
        <v>312</v>
      </c>
      <c r="J47" s="230">
        <f>J49+J59+その４!J9+その４!J15</f>
        <v>0</v>
      </c>
      <c r="K47" s="220" t="s">
        <v>313</v>
      </c>
      <c r="L47" s="221" t="s">
        <v>312</v>
      </c>
      <c r="M47" s="220">
        <f t="shared" si="14"/>
        <v>0</v>
      </c>
      <c r="N47" s="220" t="s">
        <v>313</v>
      </c>
      <c r="O47" s="223" t="s">
        <v>312</v>
      </c>
      <c r="P47" s="230">
        <f>P49+P59+その４!P9+その４!P15</f>
        <v>0</v>
      </c>
      <c r="Q47" s="224" t="s">
        <v>313</v>
      </c>
      <c r="R47" s="225" t="s">
        <v>312</v>
      </c>
      <c r="S47" s="230">
        <f t="shared" si="24"/>
        <v>0</v>
      </c>
      <c r="T47" s="220" t="s">
        <v>313</v>
      </c>
      <c r="U47" s="221" t="s">
        <v>312</v>
      </c>
      <c r="V47" s="230">
        <f>V49+V59+その４!V9+その４!V15</f>
        <v>0</v>
      </c>
      <c r="W47" s="222" t="s">
        <v>313</v>
      </c>
      <c r="X47" s="220" t="s">
        <v>312</v>
      </c>
      <c r="Y47" s="230">
        <f>Y49+Y59+その４!Y9+その４!Y15</f>
        <v>0</v>
      </c>
      <c r="Z47" s="220" t="s">
        <v>313</v>
      </c>
      <c r="AA47" s="221" t="s">
        <v>312</v>
      </c>
      <c r="AB47" s="220">
        <f t="shared" si="15"/>
        <v>0</v>
      </c>
      <c r="AC47" s="220" t="s">
        <v>313</v>
      </c>
      <c r="AD47" s="223" t="s">
        <v>312</v>
      </c>
      <c r="AE47" s="230">
        <f>AE49+AE59+その４!AE9+その４!AE15</f>
        <v>0</v>
      </c>
      <c r="AF47" s="242" t="s">
        <v>313</v>
      </c>
      <c r="AG47" s="224"/>
      <c r="AH47" s="227" t="s">
        <v>312</v>
      </c>
      <c r="AI47" s="220">
        <f t="shared" si="16"/>
        <v>0</v>
      </c>
      <c r="AJ47" s="230" t="s">
        <v>313</v>
      </c>
      <c r="AK47" s="232" t="s">
        <v>312</v>
      </c>
      <c r="AL47" s="230">
        <f>AL49+AL59+その４!AM9+その４!AM15</f>
        <v>0</v>
      </c>
      <c r="AM47" s="231" t="s">
        <v>313</v>
      </c>
      <c r="AN47" s="230" t="s">
        <v>312</v>
      </c>
      <c r="AO47" s="230">
        <f>AO49+AO59+その４!AP9+その４!AP15</f>
        <v>0</v>
      </c>
      <c r="AP47" s="230" t="s">
        <v>313</v>
      </c>
      <c r="AQ47" s="232" t="s">
        <v>312</v>
      </c>
      <c r="AR47" s="230">
        <f t="shared" si="25"/>
        <v>0</v>
      </c>
      <c r="AS47" s="230" t="s">
        <v>313</v>
      </c>
      <c r="AT47" s="233" t="s">
        <v>312</v>
      </c>
      <c r="AU47" s="230">
        <f>AU49+AU59+その４!AV9+その４!AV15</f>
        <v>0</v>
      </c>
      <c r="AV47" s="234" t="s">
        <v>313</v>
      </c>
      <c r="AW47" s="227" t="s">
        <v>312</v>
      </c>
      <c r="AX47" s="230">
        <f t="shared" si="17"/>
        <v>0</v>
      </c>
      <c r="AY47" s="230" t="s">
        <v>313</v>
      </c>
      <c r="AZ47" s="232" t="s">
        <v>312</v>
      </c>
      <c r="BA47" s="230">
        <f>BA49+BA59+その４!BB9+その４!BB15</f>
        <v>0</v>
      </c>
      <c r="BB47" s="231" t="s">
        <v>313</v>
      </c>
      <c r="BC47" s="230" t="s">
        <v>312</v>
      </c>
      <c r="BD47" s="230">
        <f>BD49+BD59+その４!BE9+その４!BE15</f>
        <v>0</v>
      </c>
      <c r="BE47" s="230" t="s">
        <v>313</v>
      </c>
      <c r="BF47" s="232" t="s">
        <v>312</v>
      </c>
      <c r="BG47" s="230">
        <f t="shared" si="18"/>
        <v>0</v>
      </c>
      <c r="BH47" s="230" t="s">
        <v>313</v>
      </c>
      <c r="BI47" s="233" t="s">
        <v>312</v>
      </c>
      <c r="BJ47" s="230">
        <f>BJ49+BJ59+その４!BK9+その４!BK15</f>
        <v>0</v>
      </c>
      <c r="BK47" s="426" t="s">
        <v>313</v>
      </c>
      <c r="BL47" s="235"/>
      <c r="BM47" s="569" t="s">
        <v>162</v>
      </c>
      <c r="BN47" s="581"/>
      <c r="BO47" s="227" t="s">
        <v>312</v>
      </c>
      <c r="BP47" s="220">
        <f t="shared" si="21"/>
        <v>0</v>
      </c>
      <c r="BQ47" s="230" t="s">
        <v>313</v>
      </c>
      <c r="BR47" s="232" t="s">
        <v>312</v>
      </c>
      <c r="BS47" s="230">
        <f>BS49+BS59+その４!BT9+その４!BT15</f>
        <v>0</v>
      </c>
      <c r="BT47" s="231" t="s">
        <v>313</v>
      </c>
      <c r="BU47" s="230" t="s">
        <v>312</v>
      </c>
      <c r="BV47" s="230">
        <f>BV49+BV59+その４!BW9+その４!BW15</f>
        <v>0</v>
      </c>
      <c r="BW47" s="230" t="s">
        <v>313</v>
      </c>
      <c r="BX47" s="232" t="s">
        <v>312</v>
      </c>
      <c r="BY47" s="230">
        <f t="shared" si="19"/>
        <v>0</v>
      </c>
      <c r="BZ47" s="230" t="s">
        <v>313</v>
      </c>
      <c r="CA47" s="233" t="s">
        <v>312</v>
      </c>
      <c r="CB47" s="230">
        <f>CB49+CB59+その４!CC9+その４!CC15</f>
        <v>0</v>
      </c>
      <c r="CC47" s="426" t="s">
        <v>313</v>
      </c>
      <c r="CD47" s="227" t="s">
        <v>312</v>
      </c>
      <c r="CE47" s="220">
        <f t="shared" si="22"/>
        <v>3197.559739</v>
      </c>
      <c r="CF47" s="230" t="s">
        <v>313</v>
      </c>
      <c r="CG47" s="221" t="s">
        <v>312</v>
      </c>
      <c r="CH47" s="230">
        <f>CH49+CH59+その４!CI9+その４!CI15</f>
        <v>132.23</v>
      </c>
      <c r="CI47" s="222" t="s">
        <v>313</v>
      </c>
      <c r="CJ47" s="230" t="s">
        <v>312</v>
      </c>
      <c r="CK47" s="230">
        <f>CK49+CK59+その４!CL9+その４!CL15</f>
        <v>0.423639</v>
      </c>
      <c r="CL47" s="230" t="s">
        <v>313</v>
      </c>
      <c r="CM47" s="232" t="s">
        <v>312</v>
      </c>
      <c r="CN47" s="230">
        <f t="shared" si="9"/>
        <v>132.653639</v>
      </c>
      <c r="CO47" s="230" t="s">
        <v>313</v>
      </c>
      <c r="CP47" s="223" t="s">
        <v>312</v>
      </c>
      <c r="CQ47" s="230">
        <f>CQ49+CQ59+その４!CR9+その４!CR15</f>
        <v>3064.9060999999997</v>
      </c>
      <c r="CR47" s="242" t="s">
        <v>313</v>
      </c>
      <c r="CS47" s="224"/>
      <c r="CT47" s="227" t="s">
        <v>312</v>
      </c>
      <c r="CU47" s="220">
        <f t="shared" si="23"/>
        <v>593.5688</v>
      </c>
      <c r="CV47" s="230" t="s">
        <v>313</v>
      </c>
      <c r="CW47" s="232" t="s">
        <v>312</v>
      </c>
      <c r="CX47" s="230">
        <f>CX49+CX59+その４!CY9+その４!CY15</f>
        <v>196.52870000000001</v>
      </c>
      <c r="CY47" s="231" t="s">
        <v>313</v>
      </c>
      <c r="CZ47" s="230" t="s">
        <v>312</v>
      </c>
      <c r="DA47" s="230">
        <f>DA49+DA59+その４!DB9+その４!DB15</f>
        <v>0</v>
      </c>
      <c r="DB47" s="230" t="s">
        <v>313</v>
      </c>
      <c r="DC47" s="232" t="s">
        <v>312</v>
      </c>
      <c r="DD47" s="220">
        <f t="shared" si="20"/>
        <v>196.52870000000001</v>
      </c>
      <c r="DE47" s="230" t="s">
        <v>313</v>
      </c>
      <c r="DF47" s="233" t="s">
        <v>312</v>
      </c>
      <c r="DG47" s="230">
        <f>DG49+DG59+その４!DH9+その４!DH15</f>
        <v>397.0401</v>
      </c>
      <c r="DH47" s="234" t="s">
        <v>313</v>
      </c>
      <c r="DI47" s="300"/>
    </row>
    <row r="48" spans="1:113" s="228" customFormat="1" ht="15.75" customHeight="1" thickBot="1">
      <c r="A48" s="582"/>
      <c r="B48" s="583"/>
      <c r="C48" s="425"/>
      <c r="D48" s="237">
        <f t="shared" si="13"/>
        <v>149.30460000000002</v>
      </c>
      <c r="E48" s="237"/>
      <c r="F48" s="238"/>
      <c r="G48" s="237">
        <f>G50+G60+その４!G10+その４!G16</f>
        <v>0</v>
      </c>
      <c r="H48" s="239"/>
      <c r="I48" s="237"/>
      <c r="J48" s="237">
        <f>J50+J60+その４!J10+その４!J16</f>
        <v>0.9435999999999999</v>
      </c>
      <c r="K48" s="237"/>
      <c r="L48" s="238"/>
      <c r="M48" s="237">
        <f t="shared" si="14"/>
        <v>0.9435999999999999</v>
      </c>
      <c r="N48" s="237"/>
      <c r="O48" s="240"/>
      <c r="P48" s="237">
        <f>P50+P60+その４!P10+その４!P16</f>
        <v>148.36100000000002</v>
      </c>
      <c r="Q48" s="241"/>
      <c r="R48" s="425"/>
      <c r="S48" s="237">
        <f t="shared" si="24"/>
        <v>34.990964999999996</v>
      </c>
      <c r="T48" s="237"/>
      <c r="U48" s="238"/>
      <c r="V48" s="237">
        <f>V50+V60+その４!V10+その４!V16</f>
        <v>0</v>
      </c>
      <c r="W48" s="239"/>
      <c r="X48" s="237"/>
      <c r="Y48" s="237">
        <f>Y50+Y60+その４!Y10+その４!Y16</f>
        <v>2.418065</v>
      </c>
      <c r="Z48" s="237"/>
      <c r="AA48" s="238"/>
      <c r="AB48" s="237">
        <f t="shared" si="15"/>
        <v>2.418065</v>
      </c>
      <c r="AC48" s="237"/>
      <c r="AD48" s="240"/>
      <c r="AE48" s="237">
        <f>AE50+AE60+その４!AE10+その４!AE16</f>
        <v>32.5729</v>
      </c>
      <c r="AF48" s="247"/>
      <c r="AG48" s="224"/>
      <c r="AH48" s="225"/>
      <c r="AI48" s="237">
        <f t="shared" si="16"/>
        <v>1370.755209</v>
      </c>
      <c r="AJ48" s="220"/>
      <c r="AK48" s="221"/>
      <c r="AL48" s="237">
        <f>AL50+AL60+その４!AM10+その４!AM16</f>
        <v>15.57</v>
      </c>
      <c r="AM48" s="239"/>
      <c r="AN48" s="237"/>
      <c r="AO48" s="237">
        <f>AO50+AO60+その４!AP10+その４!AP16</f>
        <v>4.576309</v>
      </c>
      <c r="AP48" s="220"/>
      <c r="AQ48" s="221"/>
      <c r="AR48" s="237">
        <f t="shared" si="25"/>
        <v>20.146309000000002</v>
      </c>
      <c r="AS48" s="220"/>
      <c r="AT48" s="223"/>
      <c r="AU48" s="237">
        <f>AU50+AU60+その４!AV10+その４!AV16</f>
        <v>1350.6089</v>
      </c>
      <c r="AV48" s="242"/>
      <c r="AW48" s="225"/>
      <c r="AX48" s="237">
        <f t="shared" si="17"/>
        <v>0</v>
      </c>
      <c r="AY48" s="220"/>
      <c r="AZ48" s="221"/>
      <c r="BA48" s="237">
        <f>BA50+BA60+その４!BB10+その４!BB16</f>
        <v>0</v>
      </c>
      <c r="BB48" s="239"/>
      <c r="BC48" s="237"/>
      <c r="BD48" s="237">
        <f>BD50+BD60+その４!BE10+その４!BE16</f>
        <v>0</v>
      </c>
      <c r="BE48" s="237"/>
      <c r="BF48" s="238"/>
      <c r="BG48" s="237">
        <f t="shared" si="18"/>
        <v>0</v>
      </c>
      <c r="BH48" s="237"/>
      <c r="BI48" s="240"/>
      <c r="BJ48" s="237">
        <f>BJ50+BJ60+その４!BK10+その４!BK16</f>
        <v>0</v>
      </c>
      <c r="BK48" s="224"/>
      <c r="BL48" s="243"/>
      <c r="BM48" s="582"/>
      <c r="BN48" s="583"/>
      <c r="BO48" s="225"/>
      <c r="BP48" s="237">
        <f t="shared" si="21"/>
        <v>10.6095</v>
      </c>
      <c r="BQ48" s="220"/>
      <c r="BR48" s="221"/>
      <c r="BS48" s="237">
        <f>BS50+BS60+その４!BT10+その４!BT16</f>
        <v>5.5567</v>
      </c>
      <c r="BT48" s="239"/>
      <c r="BU48" s="237"/>
      <c r="BV48" s="237">
        <f>BV50+BV60+その４!BW10+その４!BW16</f>
        <v>0</v>
      </c>
      <c r="BW48" s="237"/>
      <c r="BX48" s="238"/>
      <c r="BY48" s="237">
        <f t="shared" si="19"/>
        <v>5.5567</v>
      </c>
      <c r="BZ48" s="237"/>
      <c r="CA48" s="240"/>
      <c r="CB48" s="237">
        <f>CB50+CB60+その４!CC10+その４!CC16</f>
        <v>5.0528</v>
      </c>
      <c r="CC48" s="224"/>
      <c r="CD48" s="225"/>
      <c r="CE48" s="237">
        <f t="shared" si="22"/>
        <v>503.89719999999994</v>
      </c>
      <c r="CF48" s="220"/>
      <c r="CG48" s="221"/>
      <c r="CH48" s="237">
        <f>CH50+CH60+その４!CI10+その４!CI16</f>
        <v>105.2505</v>
      </c>
      <c r="CI48" s="222"/>
      <c r="CJ48" s="220"/>
      <c r="CK48" s="237">
        <f>CK50+CK60+その４!CL10+その４!CL16</f>
        <v>0</v>
      </c>
      <c r="CL48" s="220"/>
      <c r="CM48" s="221"/>
      <c r="CN48" s="237">
        <f t="shared" si="9"/>
        <v>105.2505</v>
      </c>
      <c r="CO48" s="220"/>
      <c r="CP48" s="223"/>
      <c r="CQ48" s="237">
        <f>CQ50+CQ60+その４!CR10+その４!CR16</f>
        <v>398.64669999999995</v>
      </c>
      <c r="CR48" s="242"/>
      <c r="CS48" s="224"/>
      <c r="CT48" s="225"/>
      <c r="CU48" s="237">
        <f t="shared" si="23"/>
        <v>6.469099999999999</v>
      </c>
      <c r="CV48" s="220"/>
      <c r="CW48" s="221"/>
      <c r="CX48" s="237">
        <f>CX50+CX60+その４!CY10+その４!CY16</f>
        <v>0.3391</v>
      </c>
      <c r="CY48" s="222"/>
      <c r="CZ48" s="220"/>
      <c r="DA48" s="237">
        <f>DA50+DA60+その４!DB10+その４!DB16</f>
        <v>1.3071</v>
      </c>
      <c r="DB48" s="220"/>
      <c r="DC48" s="221"/>
      <c r="DD48" s="237">
        <f t="shared" si="20"/>
        <v>1.6461999999999999</v>
      </c>
      <c r="DE48" s="220"/>
      <c r="DF48" s="223"/>
      <c r="DG48" s="237">
        <f>DG50+DG60+その４!DH10+その４!DH16</f>
        <v>4.8229</v>
      </c>
      <c r="DH48" s="242"/>
      <c r="DI48" s="304"/>
    </row>
    <row r="49" spans="1:114" s="245" customFormat="1" ht="15.75" customHeight="1">
      <c r="A49" s="569"/>
      <c r="B49" s="568" t="s">
        <v>288</v>
      </c>
      <c r="C49" s="276" t="s">
        <v>145</v>
      </c>
      <c r="D49" s="220">
        <f t="shared" si="13"/>
        <v>0</v>
      </c>
      <c r="E49" s="220" t="s">
        <v>146</v>
      </c>
      <c r="F49" s="221" t="s">
        <v>145</v>
      </c>
      <c r="G49" s="220">
        <f>G51+G53+G55+G57</f>
        <v>0</v>
      </c>
      <c r="H49" s="222" t="s">
        <v>146</v>
      </c>
      <c r="I49" s="220" t="s">
        <v>145</v>
      </c>
      <c r="J49" s="220">
        <f>J51+J53+J55+J57</f>
        <v>0</v>
      </c>
      <c r="K49" s="220" t="s">
        <v>146</v>
      </c>
      <c r="L49" s="221" t="s">
        <v>145</v>
      </c>
      <c r="M49" s="220">
        <f t="shared" si="14"/>
        <v>0</v>
      </c>
      <c r="N49" s="220" t="s">
        <v>146</v>
      </c>
      <c r="O49" s="223" t="s">
        <v>145</v>
      </c>
      <c r="P49" s="220">
        <f>P51+P53+P55+P57</f>
        <v>0</v>
      </c>
      <c r="Q49" s="224" t="s">
        <v>146</v>
      </c>
      <c r="R49" s="277" t="s">
        <v>145</v>
      </c>
      <c r="S49" s="220">
        <f t="shared" si="24"/>
        <v>0</v>
      </c>
      <c r="T49" s="220" t="s">
        <v>146</v>
      </c>
      <c r="U49" s="221" t="s">
        <v>145</v>
      </c>
      <c r="V49" s="220">
        <f>V51+V53+V55+V57</f>
        <v>0</v>
      </c>
      <c r="W49" s="222" t="s">
        <v>146</v>
      </c>
      <c r="X49" s="220" t="s">
        <v>145</v>
      </c>
      <c r="Y49" s="220">
        <f>Y51+Y53+Y55+Y57</f>
        <v>0</v>
      </c>
      <c r="Z49" s="220" t="s">
        <v>146</v>
      </c>
      <c r="AA49" s="221" t="s">
        <v>145</v>
      </c>
      <c r="AB49" s="220">
        <f t="shared" si="15"/>
        <v>0</v>
      </c>
      <c r="AC49" s="220" t="s">
        <v>146</v>
      </c>
      <c r="AD49" s="223" t="s">
        <v>145</v>
      </c>
      <c r="AE49" s="220">
        <f>AE51+AE53+AE55+AE57</f>
        <v>0</v>
      </c>
      <c r="AF49" s="242" t="s">
        <v>146</v>
      </c>
      <c r="AG49" s="224"/>
      <c r="AH49" s="229" t="s">
        <v>145</v>
      </c>
      <c r="AI49" s="220">
        <f t="shared" si="16"/>
        <v>0</v>
      </c>
      <c r="AJ49" s="230" t="s">
        <v>146</v>
      </c>
      <c r="AK49" s="232" t="s">
        <v>145</v>
      </c>
      <c r="AL49" s="220">
        <f>AL51+AL53+AL55+AL57</f>
        <v>0</v>
      </c>
      <c r="AM49" s="222" t="s">
        <v>146</v>
      </c>
      <c r="AN49" s="220" t="s">
        <v>145</v>
      </c>
      <c r="AO49" s="220">
        <f>AO51+AO53+AO55+AO57</f>
        <v>0</v>
      </c>
      <c r="AP49" s="230" t="s">
        <v>146</v>
      </c>
      <c r="AQ49" s="232" t="s">
        <v>145</v>
      </c>
      <c r="AR49" s="220">
        <f t="shared" si="25"/>
        <v>0</v>
      </c>
      <c r="AS49" s="230" t="s">
        <v>146</v>
      </c>
      <c r="AT49" s="233" t="s">
        <v>145</v>
      </c>
      <c r="AU49" s="220">
        <f>AU51+AU53+AU55+AU57</f>
        <v>0</v>
      </c>
      <c r="AV49" s="234" t="s">
        <v>146</v>
      </c>
      <c r="AW49" s="229" t="s">
        <v>145</v>
      </c>
      <c r="AX49" s="220">
        <f t="shared" si="17"/>
        <v>0</v>
      </c>
      <c r="AY49" s="230" t="s">
        <v>146</v>
      </c>
      <c r="AZ49" s="232" t="s">
        <v>145</v>
      </c>
      <c r="BA49" s="220">
        <f>BA51+BA53+BA55+BA57</f>
        <v>0</v>
      </c>
      <c r="BB49" s="222" t="s">
        <v>146</v>
      </c>
      <c r="BC49" s="220" t="s">
        <v>145</v>
      </c>
      <c r="BD49" s="220">
        <f>BD51+BD53+BD55+BD57</f>
        <v>0</v>
      </c>
      <c r="BE49" s="220" t="s">
        <v>146</v>
      </c>
      <c r="BF49" s="221" t="s">
        <v>145</v>
      </c>
      <c r="BG49" s="220">
        <f t="shared" si="18"/>
        <v>0</v>
      </c>
      <c r="BH49" s="220" t="s">
        <v>146</v>
      </c>
      <c r="BI49" s="223" t="s">
        <v>145</v>
      </c>
      <c r="BJ49" s="220">
        <f>BJ51+BJ53+BJ55+BJ57</f>
        <v>0</v>
      </c>
      <c r="BK49" s="426" t="s">
        <v>146</v>
      </c>
      <c r="BL49" s="235"/>
      <c r="BM49" s="569"/>
      <c r="BN49" s="568" t="s">
        <v>288</v>
      </c>
      <c r="BO49" s="271" t="s">
        <v>145</v>
      </c>
      <c r="BP49" s="220">
        <f t="shared" si="21"/>
        <v>0</v>
      </c>
      <c r="BQ49" s="230" t="s">
        <v>146</v>
      </c>
      <c r="BR49" s="232" t="s">
        <v>145</v>
      </c>
      <c r="BS49" s="220">
        <f>BS51+BS53+BS55+BS57</f>
        <v>0</v>
      </c>
      <c r="BT49" s="222" t="s">
        <v>146</v>
      </c>
      <c r="BU49" s="220" t="s">
        <v>145</v>
      </c>
      <c r="BV49" s="220">
        <f>BV51+BV53+BV55+BV57</f>
        <v>0</v>
      </c>
      <c r="BW49" s="220" t="s">
        <v>146</v>
      </c>
      <c r="BX49" s="221" t="s">
        <v>145</v>
      </c>
      <c r="BY49" s="220">
        <f t="shared" si="19"/>
        <v>0</v>
      </c>
      <c r="BZ49" s="220" t="s">
        <v>146</v>
      </c>
      <c r="CA49" s="223" t="s">
        <v>145</v>
      </c>
      <c r="CB49" s="220">
        <f>CB51+CB53+CB55+CB57</f>
        <v>0</v>
      </c>
      <c r="CC49" s="426" t="s">
        <v>146</v>
      </c>
      <c r="CD49" s="229" t="s">
        <v>145</v>
      </c>
      <c r="CE49" s="220">
        <f t="shared" si="22"/>
        <v>981.2748</v>
      </c>
      <c r="CF49" s="230" t="s">
        <v>146</v>
      </c>
      <c r="CG49" s="232" t="s">
        <v>145</v>
      </c>
      <c r="CH49" s="220">
        <f>CH51+CH53+CH55+CH57</f>
        <v>0</v>
      </c>
      <c r="CI49" s="231" t="s">
        <v>146</v>
      </c>
      <c r="CJ49" s="230" t="s">
        <v>145</v>
      </c>
      <c r="CK49" s="220">
        <f>CK51+CK53+CK55+CK57</f>
        <v>0.087</v>
      </c>
      <c r="CL49" s="230" t="s">
        <v>146</v>
      </c>
      <c r="CM49" s="232" t="s">
        <v>145</v>
      </c>
      <c r="CN49" s="220">
        <f aca="true" t="shared" si="26" ref="CN49:CN66">CH49+CK49</f>
        <v>0.087</v>
      </c>
      <c r="CO49" s="230" t="s">
        <v>146</v>
      </c>
      <c r="CP49" s="233" t="s">
        <v>145</v>
      </c>
      <c r="CQ49" s="220">
        <f>CQ51+CQ53+CQ55+CQ57</f>
        <v>981.1878</v>
      </c>
      <c r="CR49" s="234" t="s">
        <v>146</v>
      </c>
      <c r="CS49" s="224"/>
      <c r="CT49" s="229" t="s">
        <v>145</v>
      </c>
      <c r="CU49" s="220">
        <f t="shared" si="23"/>
        <v>485.2328</v>
      </c>
      <c r="CV49" s="230" t="s">
        <v>146</v>
      </c>
      <c r="CW49" s="232" t="s">
        <v>145</v>
      </c>
      <c r="CX49" s="220">
        <f>CX51+CX53+CX55+CX57</f>
        <v>94.4505</v>
      </c>
      <c r="CY49" s="231" t="s">
        <v>146</v>
      </c>
      <c r="CZ49" s="230" t="s">
        <v>145</v>
      </c>
      <c r="DA49" s="220">
        <f>DA51+DA53+DA55+DA57</f>
        <v>0</v>
      </c>
      <c r="DB49" s="230" t="s">
        <v>146</v>
      </c>
      <c r="DC49" s="232" t="s">
        <v>145</v>
      </c>
      <c r="DD49" s="220">
        <f t="shared" si="20"/>
        <v>94.4505</v>
      </c>
      <c r="DE49" s="230" t="s">
        <v>146</v>
      </c>
      <c r="DF49" s="233" t="s">
        <v>145</v>
      </c>
      <c r="DG49" s="220">
        <f>DG51+DG53+DG55+DG57</f>
        <v>390.7823</v>
      </c>
      <c r="DH49" s="234" t="s">
        <v>146</v>
      </c>
      <c r="DI49" s="301"/>
      <c r="DJ49" s="228"/>
    </row>
    <row r="50" spans="1:114" s="245" customFormat="1" ht="15.75" customHeight="1" thickBot="1">
      <c r="A50" s="651"/>
      <c r="B50" s="652"/>
      <c r="C50" s="236"/>
      <c r="D50" s="237">
        <f t="shared" si="13"/>
        <v>94.284</v>
      </c>
      <c r="E50" s="237"/>
      <c r="F50" s="238"/>
      <c r="G50" s="237">
        <f>G52+G54+G56+G58</f>
        <v>0</v>
      </c>
      <c r="H50" s="239"/>
      <c r="I50" s="237"/>
      <c r="J50" s="237">
        <f>J52+J54+J56+J58</f>
        <v>0.6417999999999999</v>
      </c>
      <c r="K50" s="237"/>
      <c r="L50" s="238"/>
      <c r="M50" s="237">
        <f t="shared" si="14"/>
        <v>0.6417999999999999</v>
      </c>
      <c r="N50" s="239"/>
      <c r="O50" s="240"/>
      <c r="P50" s="237">
        <f>P52+P54+P56+P58</f>
        <v>93.6422</v>
      </c>
      <c r="Q50" s="241"/>
      <c r="R50" s="246"/>
      <c r="S50" s="237">
        <f t="shared" si="24"/>
        <v>22.417234999999998</v>
      </c>
      <c r="T50" s="237"/>
      <c r="U50" s="238"/>
      <c r="V50" s="237">
        <f>V52+V54+V56+V58</f>
        <v>0</v>
      </c>
      <c r="W50" s="239"/>
      <c r="X50" s="237"/>
      <c r="Y50" s="237">
        <f>Y52+Y54+Y56+Y58</f>
        <v>2.022335</v>
      </c>
      <c r="Z50" s="237"/>
      <c r="AA50" s="238"/>
      <c r="AB50" s="237">
        <f t="shared" si="15"/>
        <v>2.022335</v>
      </c>
      <c r="AC50" s="239"/>
      <c r="AD50" s="240"/>
      <c r="AE50" s="237">
        <f>AE52+AE54+AE56+AE58</f>
        <v>20.3949</v>
      </c>
      <c r="AF50" s="247"/>
      <c r="AG50" s="224"/>
      <c r="AH50" s="246"/>
      <c r="AI50" s="237">
        <f t="shared" si="16"/>
        <v>1074.853136</v>
      </c>
      <c r="AJ50" s="237"/>
      <c r="AK50" s="238"/>
      <c r="AL50" s="237">
        <f>AL52+AL54+AL56+AL58</f>
        <v>0</v>
      </c>
      <c r="AM50" s="239"/>
      <c r="AN50" s="237"/>
      <c r="AO50" s="237">
        <f>AO52+AO54+AO56+AO58</f>
        <v>3.080336</v>
      </c>
      <c r="AP50" s="237"/>
      <c r="AQ50" s="238"/>
      <c r="AR50" s="237">
        <f t="shared" si="25"/>
        <v>3.080336</v>
      </c>
      <c r="AS50" s="239"/>
      <c r="AT50" s="240"/>
      <c r="AU50" s="237">
        <f>AU52+AU54+AU56+AU58</f>
        <v>1071.7728</v>
      </c>
      <c r="AV50" s="247"/>
      <c r="AW50" s="246"/>
      <c r="AX50" s="237">
        <f t="shared" si="17"/>
        <v>0</v>
      </c>
      <c r="AY50" s="237"/>
      <c r="AZ50" s="238"/>
      <c r="BA50" s="237">
        <f>BA52+BA54+BA56+BA58</f>
        <v>0</v>
      </c>
      <c r="BB50" s="239"/>
      <c r="BC50" s="237"/>
      <c r="BD50" s="237">
        <f>BD52+BD54+BD56+BD58</f>
        <v>0</v>
      </c>
      <c r="BE50" s="237"/>
      <c r="BF50" s="238"/>
      <c r="BG50" s="237">
        <f t="shared" si="18"/>
        <v>0</v>
      </c>
      <c r="BH50" s="239"/>
      <c r="BI50" s="240"/>
      <c r="BJ50" s="237">
        <f>BJ52+BJ54+BJ56+BJ58</f>
        <v>0</v>
      </c>
      <c r="BK50" s="241"/>
      <c r="BL50" s="278"/>
      <c r="BM50" s="651"/>
      <c r="BN50" s="652"/>
      <c r="BO50" s="236"/>
      <c r="BP50" s="237">
        <f t="shared" si="21"/>
        <v>0</v>
      </c>
      <c r="BQ50" s="237"/>
      <c r="BR50" s="238"/>
      <c r="BS50" s="237">
        <f>BS52+BS54+BS56+BS58</f>
        <v>0</v>
      </c>
      <c r="BT50" s="239"/>
      <c r="BU50" s="237"/>
      <c r="BV50" s="237">
        <f>BV52+BV54+BV56+BV58</f>
        <v>0</v>
      </c>
      <c r="BW50" s="237"/>
      <c r="BX50" s="238"/>
      <c r="BY50" s="237">
        <f t="shared" si="19"/>
        <v>0</v>
      </c>
      <c r="BZ50" s="239"/>
      <c r="CA50" s="240"/>
      <c r="CB50" s="237">
        <f>CB52+CB54+CB56+CB58</f>
        <v>0</v>
      </c>
      <c r="CC50" s="241"/>
      <c r="CD50" s="246"/>
      <c r="CE50" s="237">
        <f t="shared" si="22"/>
        <v>489.53959999999995</v>
      </c>
      <c r="CF50" s="237"/>
      <c r="CG50" s="238"/>
      <c r="CH50" s="237">
        <f>CH52+CH54+CH56+CH58</f>
        <v>94.4505</v>
      </c>
      <c r="CI50" s="239"/>
      <c r="CJ50" s="237"/>
      <c r="CK50" s="220">
        <f>CK52+CK54+CK56+CK58</f>
        <v>0</v>
      </c>
      <c r="CL50" s="237"/>
      <c r="CM50" s="238"/>
      <c r="CN50" s="237">
        <f t="shared" si="26"/>
        <v>94.4505</v>
      </c>
      <c r="CO50" s="239"/>
      <c r="CP50" s="240"/>
      <c r="CQ50" s="237">
        <f>CQ52+CQ54+CQ56+CQ58</f>
        <v>395.0891</v>
      </c>
      <c r="CR50" s="247"/>
      <c r="CS50" s="224"/>
      <c r="CT50" s="246"/>
      <c r="CU50" s="237">
        <f t="shared" si="23"/>
        <v>0</v>
      </c>
      <c r="CV50" s="237"/>
      <c r="CW50" s="238"/>
      <c r="CX50" s="237">
        <f>CX52+CX54+CX56+CX58</f>
        <v>0</v>
      </c>
      <c r="CY50" s="239"/>
      <c r="CZ50" s="237"/>
      <c r="DA50" s="237">
        <f>DA52+DA54+DA56+DA58</f>
        <v>0</v>
      </c>
      <c r="DB50" s="237"/>
      <c r="DC50" s="238"/>
      <c r="DD50" s="237">
        <f t="shared" si="20"/>
        <v>0</v>
      </c>
      <c r="DE50" s="239"/>
      <c r="DF50" s="240"/>
      <c r="DG50" s="237">
        <f>DG52+DG54+DG56+DG58</f>
        <v>0</v>
      </c>
      <c r="DH50" s="247"/>
      <c r="DI50" s="304"/>
      <c r="DJ50" s="228"/>
    </row>
    <row r="51" spans="1:114" s="197" customFormat="1" ht="15.75" customHeight="1">
      <c r="A51" s="612">
        <f>A45+1</f>
        <v>13</v>
      </c>
      <c r="B51" s="613" t="s">
        <v>163</v>
      </c>
      <c r="C51" s="209" t="s">
        <v>145</v>
      </c>
      <c r="D51" s="209">
        <f t="shared" si="13"/>
        <v>0</v>
      </c>
      <c r="E51" s="209" t="s">
        <v>146</v>
      </c>
      <c r="F51" s="427" t="s">
        <v>145</v>
      </c>
      <c r="G51" s="252"/>
      <c r="H51" s="252" t="s">
        <v>146</v>
      </c>
      <c r="I51" s="427" t="s">
        <v>145</v>
      </c>
      <c r="J51" s="252"/>
      <c r="K51" s="252" t="s">
        <v>146</v>
      </c>
      <c r="L51" s="427" t="s">
        <v>145</v>
      </c>
      <c r="M51" s="209">
        <f t="shared" si="14"/>
        <v>0</v>
      </c>
      <c r="N51" s="252" t="s">
        <v>146</v>
      </c>
      <c r="O51" s="212" t="s">
        <v>145</v>
      </c>
      <c r="P51" s="209"/>
      <c r="Q51" s="209" t="s">
        <v>146</v>
      </c>
      <c r="R51" s="208" t="s">
        <v>145</v>
      </c>
      <c r="S51" s="209">
        <f t="shared" si="24"/>
        <v>0</v>
      </c>
      <c r="T51" s="209" t="s">
        <v>146</v>
      </c>
      <c r="U51" s="212" t="s">
        <v>145</v>
      </c>
      <c r="V51" s="209"/>
      <c r="W51" s="209" t="s">
        <v>146</v>
      </c>
      <c r="X51" s="212" t="s">
        <v>145</v>
      </c>
      <c r="Y51" s="209"/>
      <c r="Z51" s="209" t="s">
        <v>146</v>
      </c>
      <c r="AA51" s="212" t="s">
        <v>145</v>
      </c>
      <c r="AB51" s="209">
        <f t="shared" si="15"/>
        <v>0</v>
      </c>
      <c r="AC51" s="209" t="s">
        <v>146</v>
      </c>
      <c r="AD51" s="212" t="s">
        <v>145</v>
      </c>
      <c r="AE51" s="209"/>
      <c r="AF51" s="211" t="s">
        <v>146</v>
      </c>
      <c r="AG51" s="209"/>
      <c r="AH51" s="208" t="s">
        <v>145</v>
      </c>
      <c r="AI51" s="209">
        <f t="shared" si="16"/>
        <v>0</v>
      </c>
      <c r="AJ51" s="209" t="s">
        <v>146</v>
      </c>
      <c r="AK51" s="212" t="s">
        <v>145</v>
      </c>
      <c r="AL51" s="209"/>
      <c r="AM51" s="209" t="s">
        <v>146</v>
      </c>
      <c r="AN51" s="212" t="s">
        <v>145</v>
      </c>
      <c r="AO51" s="209"/>
      <c r="AP51" s="209" t="s">
        <v>146</v>
      </c>
      <c r="AQ51" s="212" t="s">
        <v>145</v>
      </c>
      <c r="AR51" s="209">
        <f t="shared" si="25"/>
        <v>0</v>
      </c>
      <c r="AS51" s="209" t="s">
        <v>146</v>
      </c>
      <c r="AT51" s="212" t="s">
        <v>145</v>
      </c>
      <c r="AU51" s="209"/>
      <c r="AV51" s="211" t="s">
        <v>146</v>
      </c>
      <c r="AW51" s="208" t="s">
        <v>145</v>
      </c>
      <c r="AX51" s="209">
        <f t="shared" si="17"/>
        <v>0</v>
      </c>
      <c r="AY51" s="209" t="s">
        <v>146</v>
      </c>
      <c r="AZ51" s="212" t="s">
        <v>145</v>
      </c>
      <c r="BA51" s="209"/>
      <c r="BB51" s="209" t="s">
        <v>146</v>
      </c>
      <c r="BC51" s="212" t="s">
        <v>145</v>
      </c>
      <c r="BD51" s="209"/>
      <c r="BE51" s="209" t="s">
        <v>146</v>
      </c>
      <c r="BF51" s="212" t="s">
        <v>145</v>
      </c>
      <c r="BG51" s="209">
        <f t="shared" si="18"/>
        <v>0</v>
      </c>
      <c r="BH51" s="209" t="s">
        <v>146</v>
      </c>
      <c r="BI51" s="212" t="s">
        <v>145</v>
      </c>
      <c r="BJ51" s="209"/>
      <c r="BK51" s="209" t="s">
        <v>146</v>
      </c>
      <c r="BL51" s="659">
        <f>BL45+1</f>
        <v>13</v>
      </c>
      <c r="BM51" s="612">
        <f>BM45+1</f>
        <v>13</v>
      </c>
      <c r="BN51" s="613" t="s">
        <v>163</v>
      </c>
      <c r="BO51" s="209" t="s">
        <v>145</v>
      </c>
      <c r="BP51" s="209">
        <f t="shared" si="21"/>
        <v>0</v>
      </c>
      <c r="BQ51" s="209" t="s">
        <v>146</v>
      </c>
      <c r="BR51" s="212" t="s">
        <v>145</v>
      </c>
      <c r="BS51" s="209"/>
      <c r="BT51" s="209" t="s">
        <v>146</v>
      </c>
      <c r="BU51" s="212" t="s">
        <v>145</v>
      </c>
      <c r="BV51" s="209"/>
      <c r="BW51" s="209" t="s">
        <v>146</v>
      </c>
      <c r="BX51" s="212" t="s">
        <v>145</v>
      </c>
      <c r="BY51" s="209">
        <f t="shared" si="19"/>
        <v>0</v>
      </c>
      <c r="BZ51" s="209" t="s">
        <v>146</v>
      </c>
      <c r="CA51" s="212" t="s">
        <v>145</v>
      </c>
      <c r="CB51" s="209"/>
      <c r="CC51" s="209" t="s">
        <v>146</v>
      </c>
      <c r="CD51" s="208" t="s">
        <v>145</v>
      </c>
      <c r="CE51" s="209">
        <f t="shared" si="22"/>
        <v>313.3579</v>
      </c>
      <c r="CF51" s="209" t="s">
        <v>146</v>
      </c>
      <c r="CG51" s="212" t="s">
        <v>145</v>
      </c>
      <c r="CH51" s="209"/>
      <c r="CI51" s="209" t="s">
        <v>146</v>
      </c>
      <c r="CJ51" s="212" t="s">
        <v>145</v>
      </c>
      <c r="CK51" s="314">
        <f>0.087</f>
        <v>0.087</v>
      </c>
      <c r="CL51" s="209" t="s">
        <v>146</v>
      </c>
      <c r="CM51" s="212" t="s">
        <v>145</v>
      </c>
      <c r="CN51" s="209">
        <f t="shared" si="26"/>
        <v>0.087</v>
      </c>
      <c r="CO51" s="209" t="s">
        <v>146</v>
      </c>
      <c r="CP51" s="212" t="s">
        <v>145</v>
      </c>
      <c r="CQ51" s="209">
        <v>313.2709</v>
      </c>
      <c r="CR51" s="211" t="s">
        <v>146</v>
      </c>
      <c r="CS51" s="209"/>
      <c r="CT51" s="208" t="s">
        <v>145</v>
      </c>
      <c r="CU51" s="209">
        <f t="shared" si="23"/>
        <v>0</v>
      </c>
      <c r="CV51" s="209" t="s">
        <v>146</v>
      </c>
      <c r="CW51" s="212" t="s">
        <v>145</v>
      </c>
      <c r="CX51" s="209"/>
      <c r="CY51" s="209" t="s">
        <v>146</v>
      </c>
      <c r="CZ51" s="212" t="s">
        <v>145</v>
      </c>
      <c r="DA51" s="209"/>
      <c r="DB51" s="209" t="s">
        <v>146</v>
      </c>
      <c r="DC51" s="212" t="s">
        <v>145</v>
      </c>
      <c r="DD51" s="209">
        <f t="shared" si="20"/>
        <v>0</v>
      </c>
      <c r="DE51" s="209" t="s">
        <v>146</v>
      </c>
      <c r="DF51" s="212" t="s">
        <v>145</v>
      </c>
      <c r="DG51" s="209"/>
      <c r="DH51" s="211" t="s">
        <v>146</v>
      </c>
      <c r="DI51" s="660">
        <f>DI45+1</f>
        <v>13</v>
      </c>
      <c r="DJ51" s="199"/>
    </row>
    <row r="52" spans="1:114" s="197" customFormat="1" ht="15.75" customHeight="1">
      <c r="A52" s="580"/>
      <c r="B52" s="611"/>
      <c r="C52" s="209"/>
      <c r="D52" s="254">
        <f t="shared" si="13"/>
        <v>83.543</v>
      </c>
      <c r="E52" s="209"/>
      <c r="F52" s="427"/>
      <c r="G52" s="252"/>
      <c r="H52" s="252"/>
      <c r="I52" s="427"/>
      <c r="J52" s="256">
        <f>0.3403+0.3015</f>
        <v>0.6417999999999999</v>
      </c>
      <c r="K52" s="252"/>
      <c r="L52" s="427"/>
      <c r="M52" s="254">
        <f t="shared" si="14"/>
        <v>0.6417999999999999</v>
      </c>
      <c r="N52" s="252"/>
      <c r="O52" s="212"/>
      <c r="P52" s="209">
        <v>82.9012</v>
      </c>
      <c r="Q52" s="209"/>
      <c r="R52" s="208"/>
      <c r="S52" s="254">
        <f t="shared" si="24"/>
        <v>11.243134999999999</v>
      </c>
      <c r="T52" s="209"/>
      <c r="U52" s="212"/>
      <c r="V52" s="209"/>
      <c r="W52" s="209"/>
      <c r="X52" s="212"/>
      <c r="Y52" s="209">
        <f>0.74523+0.323005</f>
        <v>1.068235</v>
      </c>
      <c r="Z52" s="209"/>
      <c r="AA52" s="212"/>
      <c r="AB52" s="254">
        <f t="shared" si="15"/>
        <v>1.068235</v>
      </c>
      <c r="AC52" s="209"/>
      <c r="AD52" s="212"/>
      <c r="AE52" s="209">
        <v>10.1749</v>
      </c>
      <c r="AF52" s="211"/>
      <c r="AG52" s="209"/>
      <c r="AH52" s="208"/>
      <c r="AI52" s="254">
        <f t="shared" si="16"/>
        <v>159.299136</v>
      </c>
      <c r="AJ52" s="209"/>
      <c r="AK52" s="212"/>
      <c r="AL52" s="209"/>
      <c r="AM52" s="209"/>
      <c r="AN52" s="212"/>
      <c r="AO52" s="291">
        <f>0.0082+0.913136</f>
        <v>0.9213359999999999</v>
      </c>
      <c r="AP52" s="209"/>
      <c r="AQ52" s="212"/>
      <c r="AR52" s="254">
        <f t="shared" si="25"/>
        <v>0.9213359999999999</v>
      </c>
      <c r="AS52" s="209"/>
      <c r="AT52" s="212"/>
      <c r="AU52" s="209">
        <v>158.3778</v>
      </c>
      <c r="AV52" s="211"/>
      <c r="AW52" s="208"/>
      <c r="AX52" s="254">
        <f t="shared" si="17"/>
        <v>0</v>
      </c>
      <c r="AY52" s="209"/>
      <c r="AZ52" s="212"/>
      <c r="BA52" s="209"/>
      <c r="BB52" s="209"/>
      <c r="BC52" s="212"/>
      <c r="BD52" s="209"/>
      <c r="BE52" s="209"/>
      <c r="BF52" s="212"/>
      <c r="BG52" s="254">
        <f t="shared" si="18"/>
        <v>0</v>
      </c>
      <c r="BH52" s="209"/>
      <c r="BI52" s="212"/>
      <c r="BJ52" s="209"/>
      <c r="BK52" s="209"/>
      <c r="BL52" s="645"/>
      <c r="BM52" s="580"/>
      <c r="BN52" s="611"/>
      <c r="BO52" s="209"/>
      <c r="BP52" s="254">
        <f t="shared" si="21"/>
        <v>0</v>
      </c>
      <c r="BQ52" s="209"/>
      <c r="BR52" s="212"/>
      <c r="BS52" s="209"/>
      <c r="BT52" s="209"/>
      <c r="BU52" s="212"/>
      <c r="BV52" s="209"/>
      <c r="BW52" s="209"/>
      <c r="BX52" s="212"/>
      <c r="BY52" s="254">
        <f t="shared" si="19"/>
        <v>0</v>
      </c>
      <c r="BZ52" s="209"/>
      <c r="CA52" s="212"/>
      <c r="CB52" s="209"/>
      <c r="CC52" s="209"/>
      <c r="CD52" s="208"/>
      <c r="CE52" s="254">
        <f t="shared" si="22"/>
        <v>2.1441</v>
      </c>
      <c r="CF52" s="209"/>
      <c r="CG52" s="212"/>
      <c r="CH52" s="209"/>
      <c r="CI52" s="209"/>
      <c r="CJ52" s="212"/>
      <c r="CK52" s="291"/>
      <c r="CL52" s="209"/>
      <c r="CM52" s="212"/>
      <c r="CN52" s="254">
        <f t="shared" si="26"/>
        <v>0</v>
      </c>
      <c r="CO52" s="209"/>
      <c r="CP52" s="212"/>
      <c r="CQ52" s="209">
        <v>2.1441</v>
      </c>
      <c r="CR52" s="211"/>
      <c r="CS52" s="209"/>
      <c r="CT52" s="208"/>
      <c r="CU52" s="254">
        <f t="shared" si="23"/>
        <v>0</v>
      </c>
      <c r="CV52" s="209"/>
      <c r="CW52" s="212"/>
      <c r="CX52" s="209"/>
      <c r="CY52" s="209"/>
      <c r="CZ52" s="212"/>
      <c r="DA52" s="209"/>
      <c r="DB52" s="209"/>
      <c r="DC52" s="212"/>
      <c r="DD52" s="254">
        <f t="shared" si="20"/>
        <v>0</v>
      </c>
      <c r="DE52" s="209"/>
      <c r="DF52" s="212"/>
      <c r="DG52" s="209"/>
      <c r="DH52" s="211"/>
      <c r="DI52" s="656"/>
      <c r="DJ52" s="199"/>
    </row>
    <row r="53" spans="1:114" s="197" customFormat="1" ht="15.75" customHeight="1">
      <c r="A53" s="610">
        <f>A51+1</f>
        <v>14</v>
      </c>
      <c r="B53" s="578" t="s">
        <v>164</v>
      </c>
      <c r="C53" s="258" t="s">
        <v>145</v>
      </c>
      <c r="D53" s="209">
        <f t="shared" si="13"/>
        <v>0</v>
      </c>
      <c r="E53" s="258" t="s">
        <v>146</v>
      </c>
      <c r="F53" s="430" t="s">
        <v>145</v>
      </c>
      <c r="G53" s="260"/>
      <c r="H53" s="260" t="s">
        <v>146</v>
      </c>
      <c r="I53" s="430" t="s">
        <v>145</v>
      </c>
      <c r="J53" s="260"/>
      <c r="K53" s="260" t="s">
        <v>146</v>
      </c>
      <c r="L53" s="430" t="s">
        <v>145</v>
      </c>
      <c r="M53" s="209">
        <f t="shared" si="14"/>
        <v>0</v>
      </c>
      <c r="N53" s="260" t="s">
        <v>146</v>
      </c>
      <c r="O53" s="259" t="s">
        <v>145</v>
      </c>
      <c r="P53" s="258"/>
      <c r="Q53" s="258" t="s">
        <v>146</v>
      </c>
      <c r="R53" s="261" t="s">
        <v>145</v>
      </c>
      <c r="S53" s="209">
        <f t="shared" si="24"/>
        <v>0</v>
      </c>
      <c r="T53" s="258" t="s">
        <v>146</v>
      </c>
      <c r="U53" s="259" t="s">
        <v>145</v>
      </c>
      <c r="V53" s="258"/>
      <c r="W53" s="258" t="s">
        <v>146</v>
      </c>
      <c r="X53" s="259" t="s">
        <v>145</v>
      </c>
      <c r="Y53" s="258"/>
      <c r="Z53" s="258" t="s">
        <v>146</v>
      </c>
      <c r="AA53" s="259" t="s">
        <v>145</v>
      </c>
      <c r="AB53" s="209">
        <f t="shared" si="15"/>
        <v>0</v>
      </c>
      <c r="AC53" s="258" t="s">
        <v>146</v>
      </c>
      <c r="AD53" s="259" t="s">
        <v>145</v>
      </c>
      <c r="AE53" s="258"/>
      <c r="AF53" s="262" t="s">
        <v>146</v>
      </c>
      <c r="AG53" s="209"/>
      <c r="AH53" s="261" t="s">
        <v>145</v>
      </c>
      <c r="AI53" s="209">
        <f t="shared" si="16"/>
        <v>0</v>
      </c>
      <c r="AJ53" s="258" t="s">
        <v>146</v>
      </c>
      <c r="AK53" s="259" t="s">
        <v>145</v>
      </c>
      <c r="AL53" s="258"/>
      <c r="AM53" s="258" t="s">
        <v>146</v>
      </c>
      <c r="AN53" s="259" t="s">
        <v>145</v>
      </c>
      <c r="AO53" s="258"/>
      <c r="AP53" s="258" t="s">
        <v>146</v>
      </c>
      <c r="AQ53" s="259" t="s">
        <v>145</v>
      </c>
      <c r="AR53" s="209">
        <f t="shared" si="25"/>
        <v>0</v>
      </c>
      <c r="AS53" s="258" t="s">
        <v>146</v>
      </c>
      <c r="AT53" s="259" t="s">
        <v>145</v>
      </c>
      <c r="AU53" s="258"/>
      <c r="AV53" s="262" t="s">
        <v>146</v>
      </c>
      <c r="AW53" s="261" t="s">
        <v>145</v>
      </c>
      <c r="AX53" s="209">
        <f t="shared" si="17"/>
        <v>0</v>
      </c>
      <c r="AY53" s="258" t="s">
        <v>146</v>
      </c>
      <c r="AZ53" s="259" t="s">
        <v>145</v>
      </c>
      <c r="BA53" s="258"/>
      <c r="BB53" s="258" t="s">
        <v>146</v>
      </c>
      <c r="BC53" s="259" t="s">
        <v>145</v>
      </c>
      <c r="BD53" s="258"/>
      <c r="BE53" s="258" t="s">
        <v>146</v>
      </c>
      <c r="BF53" s="259" t="s">
        <v>145</v>
      </c>
      <c r="BG53" s="209">
        <f t="shared" si="18"/>
        <v>0</v>
      </c>
      <c r="BH53" s="258" t="s">
        <v>146</v>
      </c>
      <c r="BI53" s="259" t="s">
        <v>145</v>
      </c>
      <c r="BJ53" s="258"/>
      <c r="BK53" s="258" t="s">
        <v>146</v>
      </c>
      <c r="BL53" s="654">
        <f>BL51+1</f>
        <v>14</v>
      </c>
      <c r="BM53" s="610">
        <f>BM51+1</f>
        <v>14</v>
      </c>
      <c r="BN53" s="578" t="s">
        <v>164</v>
      </c>
      <c r="BO53" s="258" t="s">
        <v>145</v>
      </c>
      <c r="BP53" s="209">
        <f t="shared" si="21"/>
        <v>0</v>
      </c>
      <c r="BQ53" s="258" t="s">
        <v>146</v>
      </c>
      <c r="BR53" s="259" t="s">
        <v>145</v>
      </c>
      <c r="BS53" s="258"/>
      <c r="BT53" s="258" t="s">
        <v>146</v>
      </c>
      <c r="BU53" s="259" t="s">
        <v>145</v>
      </c>
      <c r="BV53" s="258"/>
      <c r="BW53" s="258" t="s">
        <v>146</v>
      </c>
      <c r="BX53" s="259" t="s">
        <v>145</v>
      </c>
      <c r="BY53" s="209">
        <f t="shared" si="19"/>
        <v>0</v>
      </c>
      <c r="BZ53" s="258" t="s">
        <v>146</v>
      </c>
      <c r="CA53" s="259" t="s">
        <v>145</v>
      </c>
      <c r="CB53" s="258"/>
      <c r="CC53" s="258" t="s">
        <v>146</v>
      </c>
      <c r="CD53" s="261" t="s">
        <v>145</v>
      </c>
      <c r="CE53" s="209">
        <f t="shared" si="22"/>
        <v>657.7835</v>
      </c>
      <c r="CF53" s="258" t="s">
        <v>146</v>
      </c>
      <c r="CG53" s="259" t="s">
        <v>145</v>
      </c>
      <c r="CH53" s="258"/>
      <c r="CI53" s="258" t="s">
        <v>146</v>
      </c>
      <c r="CJ53" s="259" t="s">
        <v>145</v>
      </c>
      <c r="CK53" s="258"/>
      <c r="CL53" s="258" t="s">
        <v>146</v>
      </c>
      <c r="CM53" s="259" t="s">
        <v>145</v>
      </c>
      <c r="CN53" s="209">
        <f t="shared" si="26"/>
        <v>0</v>
      </c>
      <c r="CO53" s="258" t="s">
        <v>146</v>
      </c>
      <c r="CP53" s="259" t="s">
        <v>145</v>
      </c>
      <c r="CQ53" s="716">
        <v>657.7835</v>
      </c>
      <c r="CR53" s="262" t="s">
        <v>146</v>
      </c>
      <c r="CS53" s="209"/>
      <c r="CT53" s="261" t="s">
        <v>145</v>
      </c>
      <c r="CU53" s="209">
        <f t="shared" si="23"/>
        <v>485.2328</v>
      </c>
      <c r="CV53" s="258" t="s">
        <v>146</v>
      </c>
      <c r="CW53" s="259" t="s">
        <v>145</v>
      </c>
      <c r="CX53" s="258">
        <v>94.4505</v>
      </c>
      <c r="CY53" s="258" t="s">
        <v>146</v>
      </c>
      <c r="CZ53" s="259" t="s">
        <v>145</v>
      </c>
      <c r="DA53" s="258"/>
      <c r="DB53" s="258" t="s">
        <v>146</v>
      </c>
      <c r="DC53" s="259" t="s">
        <v>145</v>
      </c>
      <c r="DD53" s="209">
        <f t="shared" si="20"/>
        <v>94.4505</v>
      </c>
      <c r="DE53" s="258" t="s">
        <v>146</v>
      </c>
      <c r="DF53" s="259" t="s">
        <v>145</v>
      </c>
      <c r="DG53" s="258">
        <v>390.7823</v>
      </c>
      <c r="DH53" s="262" t="s">
        <v>146</v>
      </c>
      <c r="DI53" s="655">
        <f>DI51+1</f>
        <v>14</v>
      </c>
      <c r="DJ53" s="199"/>
    </row>
    <row r="54" spans="1:114" s="197" customFormat="1" ht="15.75" customHeight="1">
      <c r="A54" s="610"/>
      <c r="B54" s="611"/>
      <c r="C54" s="254"/>
      <c r="D54" s="254">
        <f t="shared" si="13"/>
        <v>0</v>
      </c>
      <c r="E54" s="254"/>
      <c r="F54" s="431"/>
      <c r="G54" s="263"/>
      <c r="H54" s="263"/>
      <c r="I54" s="431"/>
      <c r="J54" s="263"/>
      <c r="K54" s="263"/>
      <c r="L54" s="431"/>
      <c r="M54" s="254">
        <f t="shared" si="14"/>
        <v>0</v>
      </c>
      <c r="N54" s="263"/>
      <c r="O54" s="255"/>
      <c r="P54" s="254"/>
      <c r="Q54" s="254"/>
      <c r="R54" s="264"/>
      <c r="S54" s="254">
        <f t="shared" si="24"/>
        <v>1.4489</v>
      </c>
      <c r="T54" s="254"/>
      <c r="U54" s="255"/>
      <c r="V54" s="254"/>
      <c r="W54" s="254"/>
      <c r="X54" s="255"/>
      <c r="Y54" s="254"/>
      <c r="Z54" s="254"/>
      <c r="AA54" s="255"/>
      <c r="AB54" s="254">
        <f t="shared" si="15"/>
        <v>0</v>
      </c>
      <c r="AC54" s="254"/>
      <c r="AD54" s="255"/>
      <c r="AE54" s="254">
        <v>1.4489</v>
      </c>
      <c r="AF54" s="265"/>
      <c r="AG54" s="209"/>
      <c r="AH54" s="264"/>
      <c r="AI54" s="254">
        <f t="shared" si="16"/>
        <v>915.554</v>
      </c>
      <c r="AJ54" s="254"/>
      <c r="AK54" s="255"/>
      <c r="AL54" s="254"/>
      <c r="AM54" s="254"/>
      <c r="AN54" s="255"/>
      <c r="AO54" s="254">
        <f>2.159</f>
        <v>2.159</v>
      </c>
      <c r="AP54" s="254"/>
      <c r="AQ54" s="255"/>
      <c r="AR54" s="254">
        <f t="shared" si="25"/>
        <v>2.159</v>
      </c>
      <c r="AS54" s="254"/>
      <c r="AT54" s="255"/>
      <c r="AU54" s="254">
        <v>913.395</v>
      </c>
      <c r="AV54" s="265"/>
      <c r="AW54" s="264"/>
      <c r="AX54" s="254">
        <f t="shared" si="17"/>
        <v>0</v>
      </c>
      <c r="AY54" s="254"/>
      <c r="AZ54" s="255"/>
      <c r="BA54" s="254"/>
      <c r="BB54" s="254"/>
      <c r="BC54" s="255"/>
      <c r="BD54" s="254"/>
      <c r="BE54" s="254"/>
      <c r="BF54" s="255"/>
      <c r="BG54" s="254">
        <f t="shared" si="18"/>
        <v>0</v>
      </c>
      <c r="BH54" s="254"/>
      <c r="BI54" s="255"/>
      <c r="BJ54" s="254"/>
      <c r="BK54" s="254"/>
      <c r="BL54" s="654"/>
      <c r="BM54" s="610"/>
      <c r="BN54" s="611"/>
      <c r="BO54" s="254"/>
      <c r="BP54" s="254">
        <f t="shared" si="21"/>
        <v>0</v>
      </c>
      <c r="BQ54" s="254"/>
      <c r="BR54" s="255"/>
      <c r="BS54" s="254"/>
      <c r="BT54" s="254"/>
      <c r="BU54" s="255"/>
      <c r="BV54" s="254"/>
      <c r="BW54" s="254"/>
      <c r="BX54" s="255"/>
      <c r="BY54" s="254">
        <f t="shared" si="19"/>
        <v>0</v>
      </c>
      <c r="BZ54" s="254"/>
      <c r="CA54" s="255"/>
      <c r="CB54" s="254"/>
      <c r="CC54" s="254"/>
      <c r="CD54" s="264"/>
      <c r="CE54" s="254">
        <f t="shared" si="22"/>
        <v>485.3261</v>
      </c>
      <c r="CF54" s="254"/>
      <c r="CG54" s="255"/>
      <c r="CH54" s="254">
        <v>94.4505</v>
      </c>
      <c r="CI54" s="254"/>
      <c r="CJ54" s="255"/>
      <c r="CK54" s="254"/>
      <c r="CL54" s="254"/>
      <c r="CM54" s="255"/>
      <c r="CN54" s="254">
        <f t="shared" si="26"/>
        <v>94.4505</v>
      </c>
      <c r="CO54" s="254"/>
      <c r="CP54" s="255"/>
      <c r="CQ54" s="254">
        <v>390.8756</v>
      </c>
      <c r="CR54" s="265"/>
      <c r="CS54" s="209"/>
      <c r="CT54" s="264"/>
      <c r="CU54" s="254">
        <f t="shared" si="23"/>
        <v>0</v>
      </c>
      <c r="CV54" s="254"/>
      <c r="CW54" s="255"/>
      <c r="CX54" s="254"/>
      <c r="CY54" s="254"/>
      <c r="CZ54" s="255"/>
      <c r="DA54" s="254"/>
      <c r="DB54" s="254"/>
      <c r="DC54" s="255"/>
      <c r="DD54" s="286">
        <f t="shared" si="20"/>
        <v>0</v>
      </c>
      <c r="DE54" s="254"/>
      <c r="DF54" s="255"/>
      <c r="DG54" s="254"/>
      <c r="DH54" s="265"/>
      <c r="DI54" s="656"/>
      <c r="DJ54" s="199"/>
    </row>
    <row r="55" spans="1:115" s="197" customFormat="1" ht="15.75" customHeight="1">
      <c r="A55" s="579">
        <f>A53+1</f>
        <v>15</v>
      </c>
      <c r="B55" s="578" t="s">
        <v>165</v>
      </c>
      <c r="C55" s="258" t="s">
        <v>145</v>
      </c>
      <c r="D55" s="209">
        <f t="shared" si="13"/>
        <v>0</v>
      </c>
      <c r="E55" s="258" t="s">
        <v>146</v>
      </c>
      <c r="F55" s="430" t="s">
        <v>145</v>
      </c>
      <c r="G55" s="260"/>
      <c r="H55" s="260" t="s">
        <v>146</v>
      </c>
      <c r="I55" s="430" t="s">
        <v>145</v>
      </c>
      <c r="J55" s="260"/>
      <c r="K55" s="260" t="s">
        <v>146</v>
      </c>
      <c r="L55" s="430" t="s">
        <v>145</v>
      </c>
      <c r="M55" s="209">
        <f t="shared" si="14"/>
        <v>0</v>
      </c>
      <c r="N55" s="260" t="s">
        <v>146</v>
      </c>
      <c r="O55" s="259" t="s">
        <v>145</v>
      </c>
      <c r="P55" s="258"/>
      <c r="Q55" s="258" t="s">
        <v>146</v>
      </c>
      <c r="R55" s="261" t="s">
        <v>145</v>
      </c>
      <c r="S55" s="209">
        <f>Y55+AB55</f>
        <v>0</v>
      </c>
      <c r="T55" s="258" t="s">
        <v>146</v>
      </c>
      <c r="U55" s="259" t="s">
        <v>145</v>
      </c>
      <c r="V55" s="258"/>
      <c r="W55" s="258" t="s">
        <v>146</v>
      </c>
      <c r="X55" s="259" t="s">
        <v>145</v>
      </c>
      <c r="Y55" s="258"/>
      <c r="Z55" s="258" t="s">
        <v>146</v>
      </c>
      <c r="AA55" s="259" t="s">
        <v>145</v>
      </c>
      <c r="AB55" s="209">
        <f t="shared" si="15"/>
        <v>0</v>
      </c>
      <c r="AC55" s="258" t="s">
        <v>146</v>
      </c>
      <c r="AD55" s="259" t="s">
        <v>145</v>
      </c>
      <c r="AE55" s="258"/>
      <c r="AF55" s="262" t="s">
        <v>146</v>
      </c>
      <c r="AG55" s="209"/>
      <c r="AH55" s="261" t="s">
        <v>145</v>
      </c>
      <c r="AI55" s="209">
        <f t="shared" si="16"/>
        <v>0</v>
      </c>
      <c r="AJ55" s="258" t="s">
        <v>146</v>
      </c>
      <c r="AK55" s="259" t="s">
        <v>145</v>
      </c>
      <c r="AL55" s="258"/>
      <c r="AM55" s="258" t="s">
        <v>146</v>
      </c>
      <c r="AN55" s="259" t="s">
        <v>145</v>
      </c>
      <c r="AO55" s="258"/>
      <c r="AP55" s="258" t="s">
        <v>146</v>
      </c>
      <c r="AQ55" s="259" t="s">
        <v>145</v>
      </c>
      <c r="AR55" s="209">
        <f t="shared" si="25"/>
        <v>0</v>
      </c>
      <c r="AS55" s="258" t="s">
        <v>146</v>
      </c>
      <c r="AT55" s="259" t="s">
        <v>145</v>
      </c>
      <c r="AU55" s="258"/>
      <c r="AV55" s="262" t="s">
        <v>146</v>
      </c>
      <c r="AW55" s="261" t="s">
        <v>145</v>
      </c>
      <c r="AX55" s="209">
        <f t="shared" si="17"/>
        <v>0</v>
      </c>
      <c r="AY55" s="258" t="s">
        <v>146</v>
      </c>
      <c r="AZ55" s="259" t="s">
        <v>145</v>
      </c>
      <c r="BA55" s="258"/>
      <c r="BB55" s="258" t="s">
        <v>146</v>
      </c>
      <c r="BC55" s="259" t="s">
        <v>145</v>
      </c>
      <c r="BD55" s="258"/>
      <c r="BE55" s="258" t="s">
        <v>146</v>
      </c>
      <c r="BF55" s="259" t="s">
        <v>145</v>
      </c>
      <c r="BG55" s="209">
        <f t="shared" si="18"/>
        <v>0</v>
      </c>
      <c r="BH55" s="258" t="s">
        <v>146</v>
      </c>
      <c r="BI55" s="259" t="s">
        <v>145</v>
      </c>
      <c r="BJ55" s="258"/>
      <c r="BK55" s="258" t="s">
        <v>146</v>
      </c>
      <c r="BL55" s="644">
        <f>BL53+1</f>
        <v>15</v>
      </c>
      <c r="BM55" s="579">
        <f>BM53+1</f>
        <v>15</v>
      </c>
      <c r="BN55" s="578" t="s">
        <v>165</v>
      </c>
      <c r="BO55" s="258" t="s">
        <v>145</v>
      </c>
      <c r="BP55" s="209">
        <f t="shared" si="21"/>
        <v>0</v>
      </c>
      <c r="BQ55" s="258" t="s">
        <v>146</v>
      </c>
      <c r="BR55" s="259" t="s">
        <v>145</v>
      </c>
      <c r="BS55" s="258"/>
      <c r="BT55" s="258" t="s">
        <v>146</v>
      </c>
      <c r="BU55" s="259" t="s">
        <v>145</v>
      </c>
      <c r="BV55" s="258"/>
      <c r="BW55" s="258" t="s">
        <v>146</v>
      </c>
      <c r="BX55" s="259" t="s">
        <v>145</v>
      </c>
      <c r="BY55" s="209">
        <f t="shared" si="19"/>
        <v>0</v>
      </c>
      <c r="BZ55" s="258" t="s">
        <v>146</v>
      </c>
      <c r="CA55" s="259" t="s">
        <v>145</v>
      </c>
      <c r="CB55" s="258"/>
      <c r="CC55" s="258" t="s">
        <v>146</v>
      </c>
      <c r="CD55" s="261" t="s">
        <v>145</v>
      </c>
      <c r="CE55" s="209">
        <f t="shared" si="22"/>
        <v>10.1334</v>
      </c>
      <c r="CF55" s="258" t="s">
        <v>146</v>
      </c>
      <c r="CG55" s="259" t="s">
        <v>145</v>
      </c>
      <c r="CH55" s="258"/>
      <c r="CI55" s="258" t="s">
        <v>146</v>
      </c>
      <c r="CJ55" s="259" t="s">
        <v>145</v>
      </c>
      <c r="CK55" s="258"/>
      <c r="CL55" s="258" t="s">
        <v>146</v>
      </c>
      <c r="CM55" s="259" t="s">
        <v>145</v>
      </c>
      <c r="CN55" s="209">
        <f t="shared" si="26"/>
        <v>0</v>
      </c>
      <c r="CO55" s="258" t="s">
        <v>146</v>
      </c>
      <c r="CP55" s="259" t="s">
        <v>145</v>
      </c>
      <c r="CQ55" s="258">
        <v>10.1334</v>
      </c>
      <c r="CR55" s="262" t="s">
        <v>146</v>
      </c>
      <c r="CS55" s="209"/>
      <c r="CT55" s="261" t="s">
        <v>145</v>
      </c>
      <c r="CU55" s="209">
        <f t="shared" si="23"/>
        <v>0</v>
      </c>
      <c r="CV55" s="258" t="s">
        <v>146</v>
      </c>
      <c r="CW55" s="259" t="s">
        <v>145</v>
      </c>
      <c r="CX55" s="258"/>
      <c r="CY55" s="258" t="s">
        <v>146</v>
      </c>
      <c r="CZ55" s="259" t="s">
        <v>145</v>
      </c>
      <c r="DA55" s="258"/>
      <c r="DB55" s="258" t="s">
        <v>146</v>
      </c>
      <c r="DC55" s="259" t="s">
        <v>145</v>
      </c>
      <c r="DD55" s="209">
        <f t="shared" si="20"/>
        <v>0</v>
      </c>
      <c r="DE55" s="258" t="s">
        <v>146</v>
      </c>
      <c r="DF55" s="259" t="s">
        <v>145</v>
      </c>
      <c r="DG55" s="258"/>
      <c r="DH55" s="262" t="s">
        <v>146</v>
      </c>
      <c r="DI55" s="655">
        <f>DI53+1</f>
        <v>15</v>
      </c>
      <c r="DK55" s="199"/>
    </row>
    <row r="56" spans="1:115" s="197" customFormat="1" ht="15.75" customHeight="1">
      <c r="A56" s="580"/>
      <c r="B56" s="611"/>
      <c r="C56" s="254"/>
      <c r="D56" s="254">
        <f t="shared" si="13"/>
        <v>10.741</v>
      </c>
      <c r="E56" s="254"/>
      <c r="F56" s="431"/>
      <c r="G56" s="263"/>
      <c r="H56" s="263"/>
      <c r="I56" s="431"/>
      <c r="J56" s="263"/>
      <c r="K56" s="263"/>
      <c r="L56" s="431"/>
      <c r="M56" s="254">
        <f t="shared" si="14"/>
        <v>0</v>
      </c>
      <c r="N56" s="263"/>
      <c r="O56" s="255"/>
      <c r="P56" s="254">
        <v>10.741</v>
      </c>
      <c r="Q56" s="254"/>
      <c r="R56" s="264"/>
      <c r="S56" s="254">
        <f aca="true" t="shared" si="27" ref="S56:S66">AB56+AE56</f>
        <v>0</v>
      </c>
      <c r="T56" s="254"/>
      <c r="U56" s="255"/>
      <c r="V56" s="254"/>
      <c r="W56" s="254"/>
      <c r="X56" s="255"/>
      <c r="Y56" s="254"/>
      <c r="Z56" s="254"/>
      <c r="AA56" s="255"/>
      <c r="AB56" s="254">
        <f t="shared" si="15"/>
        <v>0</v>
      </c>
      <c r="AC56" s="254"/>
      <c r="AD56" s="255"/>
      <c r="AE56" s="254"/>
      <c r="AF56" s="265"/>
      <c r="AG56" s="209"/>
      <c r="AH56" s="264"/>
      <c r="AI56" s="254">
        <f t="shared" si="16"/>
        <v>0</v>
      </c>
      <c r="AJ56" s="254"/>
      <c r="AK56" s="255"/>
      <c r="AL56" s="254"/>
      <c r="AM56" s="254"/>
      <c r="AN56" s="255"/>
      <c r="AO56" s="254"/>
      <c r="AP56" s="254"/>
      <c r="AQ56" s="255"/>
      <c r="AR56" s="254">
        <f t="shared" si="25"/>
        <v>0</v>
      </c>
      <c r="AS56" s="254"/>
      <c r="AT56" s="255"/>
      <c r="AU56" s="254"/>
      <c r="AV56" s="265"/>
      <c r="AW56" s="264"/>
      <c r="AX56" s="254">
        <f t="shared" si="17"/>
        <v>0</v>
      </c>
      <c r="AY56" s="254"/>
      <c r="AZ56" s="255"/>
      <c r="BA56" s="254"/>
      <c r="BB56" s="254"/>
      <c r="BC56" s="255"/>
      <c r="BD56" s="254"/>
      <c r="BE56" s="254"/>
      <c r="BF56" s="255"/>
      <c r="BG56" s="254">
        <f t="shared" si="18"/>
        <v>0</v>
      </c>
      <c r="BH56" s="254"/>
      <c r="BI56" s="255"/>
      <c r="BJ56" s="254"/>
      <c r="BK56" s="254"/>
      <c r="BL56" s="717"/>
      <c r="BM56" s="718"/>
      <c r="BN56" s="709"/>
      <c r="BO56" s="254"/>
      <c r="BP56" s="254">
        <f t="shared" si="21"/>
        <v>0</v>
      </c>
      <c r="BQ56" s="254"/>
      <c r="BR56" s="255"/>
      <c r="BS56" s="254"/>
      <c r="BT56" s="254"/>
      <c r="BU56" s="255"/>
      <c r="BV56" s="254"/>
      <c r="BW56" s="254"/>
      <c r="BX56" s="255"/>
      <c r="BY56" s="254">
        <f t="shared" si="19"/>
        <v>0</v>
      </c>
      <c r="BZ56" s="254"/>
      <c r="CA56" s="255"/>
      <c r="CB56" s="254"/>
      <c r="CC56" s="254"/>
      <c r="CD56" s="264"/>
      <c r="CE56" s="254">
        <f t="shared" si="22"/>
        <v>2.0694</v>
      </c>
      <c r="CF56" s="254"/>
      <c r="CG56" s="255"/>
      <c r="CH56" s="254"/>
      <c r="CI56" s="254"/>
      <c r="CJ56" s="255"/>
      <c r="CK56" s="254"/>
      <c r="CL56" s="254"/>
      <c r="CM56" s="255"/>
      <c r="CN56" s="254">
        <f t="shared" si="26"/>
        <v>0</v>
      </c>
      <c r="CO56" s="254"/>
      <c r="CP56" s="255"/>
      <c r="CQ56" s="254">
        <v>2.0694</v>
      </c>
      <c r="CR56" s="265"/>
      <c r="CS56" s="209"/>
      <c r="CT56" s="264"/>
      <c r="CU56" s="254">
        <f t="shared" si="23"/>
        <v>0</v>
      </c>
      <c r="CV56" s="254"/>
      <c r="CW56" s="255"/>
      <c r="CX56" s="254"/>
      <c r="CY56" s="254"/>
      <c r="CZ56" s="255"/>
      <c r="DA56" s="254"/>
      <c r="DB56" s="254"/>
      <c r="DC56" s="255"/>
      <c r="DD56" s="254">
        <f t="shared" si="20"/>
        <v>0</v>
      </c>
      <c r="DE56" s="254"/>
      <c r="DF56" s="255"/>
      <c r="DG56" s="254"/>
      <c r="DH56" s="265"/>
      <c r="DI56" s="656"/>
      <c r="DK56" s="199"/>
    </row>
    <row r="57" spans="1:115" s="197" customFormat="1" ht="15.75" customHeight="1">
      <c r="A57" s="579">
        <f>A55+1</f>
        <v>16</v>
      </c>
      <c r="B57" s="578" t="s">
        <v>166</v>
      </c>
      <c r="C57" s="261" t="s">
        <v>145</v>
      </c>
      <c r="D57" s="209">
        <f t="shared" si="13"/>
        <v>0</v>
      </c>
      <c r="E57" s="258" t="s">
        <v>146</v>
      </c>
      <c r="F57" s="430" t="s">
        <v>145</v>
      </c>
      <c r="G57" s="260"/>
      <c r="H57" s="260" t="s">
        <v>146</v>
      </c>
      <c r="I57" s="430" t="s">
        <v>145</v>
      </c>
      <c r="J57" s="260"/>
      <c r="K57" s="260" t="s">
        <v>146</v>
      </c>
      <c r="L57" s="430" t="s">
        <v>145</v>
      </c>
      <c r="M57" s="209">
        <f t="shared" si="14"/>
        <v>0</v>
      </c>
      <c r="N57" s="260" t="s">
        <v>146</v>
      </c>
      <c r="O57" s="259" t="s">
        <v>145</v>
      </c>
      <c r="P57" s="258"/>
      <c r="Q57" s="258" t="s">
        <v>146</v>
      </c>
      <c r="R57" s="261" t="s">
        <v>145</v>
      </c>
      <c r="S57" s="209">
        <f t="shared" si="27"/>
        <v>0</v>
      </c>
      <c r="T57" s="258" t="s">
        <v>146</v>
      </c>
      <c r="U57" s="259" t="s">
        <v>145</v>
      </c>
      <c r="V57" s="258"/>
      <c r="W57" s="258" t="s">
        <v>146</v>
      </c>
      <c r="X57" s="259" t="s">
        <v>145</v>
      </c>
      <c r="Y57" s="258"/>
      <c r="Z57" s="258" t="s">
        <v>146</v>
      </c>
      <c r="AA57" s="259" t="s">
        <v>145</v>
      </c>
      <c r="AB57" s="209">
        <f t="shared" si="15"/>
        <v>0</v>
      </c>
      <c r="AC57" s="258" t="s">
        <v>146</v>
      </c>
      <c r="AD57" s="259" t="s">
        <v>145</v>
      </c>
      <c r="AE57" s="258"/>
      <c r="AF57" s="262" t="s">
        <v>146</v>
      </c>
      <c r="AG57" s="209"/>
      <c r="AH57" s="261" t="s">
        <v>145</v>
      </c>
      <c r="AI57" s="258">
        <f t="shared" si="16"/>
        <v>0</v>
      </c>
      <c r="AJ57" s="258" t="s">
        <v>146</v>
      </c>
      <c r="AK57" s="259" t="s">
        <v>145</v>
      </c>
      <c r="AL57" s="258"/>
      <c r="AM57" s="258" t="s">
        <v>146</v>
      </c>
      <c r="AN57" s="259" t="s">
        <v>145</v>
      </c>
      <c r="AO57" s="258"/>
      <c r="AP57" s="258" t="s">
        <v>146</v>
      </c>
      <c r="AQ57" s="259" t="s">
        <v>145</v>
      </c>
      <c r="AR57" s="209">
        <f t="shared" si="25"/>
        <v>0</v>
      </c>
      <c r="AS57" s="258" t="s">
        <v>146</v>
      </c>
      <c r="AT57" s="259" t="s">
        <v>145</v>
      </c>
      <c r="AU57" s="258"/>
      <c r="AV57" s="262" t="s">
        <v>146</v>
      </c>
      <c r="AW57" s="261" t="s">
        <v>145</v>
      </c>
      <c r="AX57" s="209">
        <f t="shared" si="17"/>
        <v>0</v>
      </c>
      <c r="AY57" s="258" t="s">
        <v>146</v>
      </c>
      <c r="AZ57" s="259" t="s">
        <v>145</v>
      </c>
      <c r="BA57" s="258"/>
      <c r="BB57" s="258" t="s">
        <v>146</v>
      </c>
      <c r="BC57" s="259" t="s">
        <v>145</v>
      </c>
      <c r="BD57" s="258"/>
      <c r="BE57" s="258" t="s">
        <v>146</v>
      </c>
      <c r="BF57" s="259" t="s">
        <v>145</v>
      </c>
      <c r="BG57" s="209">
        <f t="shared" si="18"/>
        <v>0</v>
      </c>
      <c r="BH57" s="258" t="s">
        <v>146</v>
      </c>
      <c r="BI57" s="259" t="s">
        <v>145</v>
      </c>
      <c r="BJ57" s="258"/>
      <c r="BK57" s="262" t="s">
        <v>146</v>
      </c>
      <c r="BL57" s="644">
        <f>BL55+1</f>
        <v>16</v>
      </c>
      <c r="BM57" s="579">
        <f>BM55+1</f>
        <v>16</v>
      </c>
      <c r="BN57" s="578" t="s">
        <v>166</v>
      </c>
      <c r="BO57" s="258" t="s">
        <v>145</v>
      </c>
      <c r="BP57" s="209">
        <f t="shared" si="21"/>
        <v>0</v>
      </c>
      <c r="BQ57" s="258" t="s">
        <v>146</v>
      </c>
      <c r="BR57" s="259" t="s">
        <v>145</v>
      </c>
      <c r="BS57" s="258"/>
      <c r="BT57" s="258" t="s">
        <v>146</v>
      </c>
      <c r="BU57" s="259" t="s">
        <v>145</v>
      </c>
      <c r="BV57" s="258"/>
      <c r="BW57" s="258" t="s">
        <v>146</v>
      </c>
      <c r="BX57" s="259" t="s">
        <v>145</v>
      </c>
      <c r="BY57" s="209">
        <f t="shared" si="19"/>
        <v>0</v>
      </c>
      <c r="BZ57" s="258" t="s">
        <v>146</v>
      </c>
      <c r="CA57" s="259" t="s">
        <v>145</v>
      </c>
      <c r="CB57" s="258"/>
      <c r="CC57" s="258" t="s">
        <v>146</v>
      </c>
      <c r="CD57" s="261" t="s">
        <v>145</v>
      </c>
      <c r="CE57" s="258">
        <f t="shared" si="22"/>
        <v>0</v>
      </c>
      <c r="CF57" s="258" t="s">
        <v>146</v>
      </c>
      <c r="CG57" s="259" t="s">
        <v>145</v>
      </c>
      <c r="CH57" s="258"/>
      <c r="CI57" s="258" t="s">
        <v>146</v>
      </c>
      <c r="CJ57" s="259" t="s">
        <v>145</v>
      </c>
      <c r="CK57" s="258"/>
      <c r="CL57" s="258" t="s">
        <v>146</v>
      </c>
      <c r="CM57" s="259" t="s">
        <v>145</v>
      </c>
      <c r="CN57" s="258">
        <f t="shared" si="26"/>
        <v>0</v>
      </c>
      <c r="CO57" s="258" t="s">
        <v>146</v>
      </c>
      <c r="CP57" s="259" t="s">
        <v>145</v>
      </c>
      <c r="CQ57" s="258"/>
      <c r="CR57" s="262" t="s">
        <v>146</v>
      </c>
      <c r="CS57" s="209"/>
      <c r="CT57" s="261" t="s">
        <v>145</v>
      </c>
      <c r="CU57" s="258">
        <f t="shared" si="23"/>
        <v>0</v>
      </c>
      <c r="CV57" s="258" t="s">
        <v>146</v>
      </c>
      <c r="CW57" s="259" t="s">
        <v>145</v>
      </c>
      <c r="CX57" s="258"/>
      <c r="CY57" s="258" t="s">
        <v>146</v>
      </c>
      <c r="CZ57" s="259" t="s">
        <v>145</v>
      </c>
      <c r="DA57" s="258"/>
      <c r="DB57" s="258" t="s">
        <v>146</v>
      </c>
      <c r="DC57" s="259" t="s">
        <v>145</v>
      </c>
      <c r="DD57" s="258">
        <f t="shared" si="20"/>
        <v>0</v>
      </c>
      <c r="DE57" s="258" t="s">
        <v>146</v>
      </c>
      <c r="DF57" s="259" t="s">
        <v>145</v>
      </c>
      <c r="DG57" s="258"/>
      <c r="DH57" s="262" t="s">
        <v>146</v>
      </c>
      <c r="DI57" s="655">
        <f>DI55+1</f>
        <v>16</v>
      </c>
      <c r="DK57" s="199"/>
    </row>
    <row r="58" spans="1:115" s="197" customFormat="1" ht="15.75" customHeight="1" thickBot="1">
      <c r="A58" s="580"/>
      <c r="B58" s="611"/>
      <c r="C58" s="216"/>
      <c r="D58" s="217">
        <f t="shared" si="13"/>
        <v>0</v>
      </c>
      <c r="E58" s="217"/>
      <c r="F58" s="432"/>
      <c r="G58" s="280"/>
      <c r="H58" s="280"/>
      <c r="I58" s="432"/>
      <c r="J58" s="280"/>
      <c r="K58" s="280"/>
      <c r="L58" s="432"/>
      <c r="M58" s="217">
        <f t="shared" si="14"/>
        <v>0</v>
      </c>
      <c r="N58" s="280"/>
      <c r="O58" s="218"/>
      <c r="P58" s="217"/>
      <c r="Q58" s="217"/>
      <c r="R58" s="216"/>
      <c r="S58" s="217">
        <f t="shared" si="27"/>
        <v>9.725200000000001</v>
      </c>
      <c r="T58" s="217"/>
      <c r="U58" s="218"/>
      <c r="V58" s="217"/>
      <c r="W58" s="217"/>
      <c r="X58" s="218"/>
      <c r="Y58" s="217">
        <f>0.905+0.0491</f>
        <v>0.9541000000000001</v>
      </c>
      <c r="Z58" s="217"/>
      <c r="AA58" s="218"/>
      <c r="AB58" s="217">
        <f t="shared" si="15"/>
        <v>0.9541000000000001</v>
      </c>
      <c r="AC58" s="217"/>
      <c r="AD58" s="218"/>
      <c r="AE58" s="217">
        <v>8.7711</v>
      </c>
      <c r="AF58" s="219"/>
      <c r="AG58" s="209"/>
      <c r="AH58" s="208"/>
      <c r="AI58" s="217">
        <f t="shared" si="16"/>
        <v>0</v>
      </c>
      <c r="AJ58" s="209"/>
      <c r="AK58" s="212"/>
      <c r="AL58" s="217"/>
      <c r="AM58" s="217"/>
      <c r="AN58" s="218"/>
      <c r="AO58" s="217"/>
      <c r="AP58" s="217"/>
      <c r="AQ58" s="218"/>
      <c r="AR58" s="217">
        <f t="shared" si="25"/>
        <v>0</v>
      </c>
      <c r="AS58" s="217"/>
      <c r="AT58" s="218"/>
      <c r="AU58" s="217"/>
      <c r="AV58" s="219"/>
      <c r="AW58" s="216"/>
      <c r="AX58" s="217">
        <f t="shared" si="17"/>
        <v>0</v>
      </c>
      <c r="AY58" s="217"/>
      <c r="AZ58" s="218"/>
      <c r="BA58" s="217"/>
      <c r="BB58" s="217"/>
      <c r="BC58" s="218"/>
      <c r="BD58" s="217"/>
      <c r="BE58" s="217"/>
      <c r="BF58" s="218"/>
      <c r="BG58" s="217">
        <f t="shared" si="18"/>
        <v>0</v>
      </c>
      <c r="BH58" s="217"/>
      <c r="BI58" s="218"/>
      <c r="BJ58" s="217"/>
      <c r="BK58" s="211"/>
      <c r="BL58" s="717"/>
      <c r="BM58" s="719"/>
      <c r="BN58" s="720"/>
      <c r="BO58" s="209"/>
      <c r="BP58" s="217">
        <f t="shared" si="21"/>
        <v>0</v>
      </c>
      <c r="BQ58" s="217"/>
      <c r="BR58" s="218"/>
      <c r="BS58" s="217"/>
      <c r="BT58" s="217"/>
      <c r="BU58" s="218"/>
      <c r="BV58" s="217"/>
      <c r="BW58" s="217"/>
      <c r="BX58" s="218"/>
      <c r="BY58" s="217">
        <f t="shared" si="19"/>
        <v>0</v>
      </c>
      <c r="BZ58" s="217"/>
      <c r="CA58" s="218"/>
      <c r="CB58" s="217"/>
      <c r="CC58" s="209"/>
      <c r="CD58" s="208"/>
      <c r="CE58" s="217">
        <f t="shared" si="22"/>
        <v>0</v>
      </c>
      <c r="CF58" s="217"/>
      <c r="CG58" s="218"/>
      <c r="CH58" s="217"/>
      <c r="CI58" s="217"/>
      <c r="CJ58" s="218"/>
      <c r="CK58" s="217"/>
      <c r="CL58" s="217"/>
      <c r="CM58" s="218"/>
      <c r="CN58" s="217">
        <f t="shared" si="26"/>
        <v>0</v>
      </c>
      <c r="CO58" s="217"/>
      <c r="CP58" s="218"/>
      <c r="CQ58" s="217"/>
      <c r="CR58" s="211"/>
      <c r="CS58" s="209"/>
      <c r="CT58" s="208"/>
      <c r="CU58" s="217">
        <f t="shared" si="23"/>
        <v>0</v>
      </c>
      <c r="CV58" s="217"/>
      <c r="CW58" s="218"/>
      <c r="CX58" s="217"/>
      <c r="CY58" s="217"/>
      <c r="CZ58" s="218"/>
      <c r="DA58" s="217"/>
      <c r="DB58" s="217"/>
      <c r="DC58" s="218"/>
      <c r="DD58" s="217">
        <f t="shared" si="20"/>
        <v>0</v>
      </c>
      <c r="DE58" s="217"/>
      <c r="DF58" s="218"/>
      <c r="DG58" s="217"/>
      <c r="DH58" s="211"/>
      <c r="DI58" s="650"/>
      <c r="DK58" s="199"/>
    </row>
    <row r="59" spans="1:115" s="442" customFormat="1" ht="15.75" customHeight="1">
      <c r="A59" s="632"/>
      <c r="B59" s="568" t="s">
        <v>287</v>
      </c>
      <c r="C59" s="276" t="s">
        <v>145</v>
      </c>
      <c r="D59" s="220">
        <f t="shared" si="13"/>
        <v>0</v>
      </c>
      <c r="E59" s="220" t="s">
        <v>146</v>
      </c>
      <c r="F59" s="221" t="s">
        <v>145</v>
      </c>
      <c r="G59" s="220">
        <f>G61+G63+G65</f>
        <v>0</v>
      </c>
      <c r="H59" s="222" t="s">
        <v>146</v>
      </c>
      <c r="I59" s="220" t="s">
        <v>145</v>
      </c>
      <c r="J59" s="220">
        <f>J61+J63+J65</f>
        <v>0</v>
      </c>
      <c r="K59" s="220" t="s">
        <v>146</v>
      </c>
      <c r="L59" s="221" t="s">
        <v>145</v>
      </c>
      <c r="M59" s="220">
        <f t="shared" si="14"/>
        <v>0</v>
      </c>
      <c r="N59" s="220" t="s">
        <v>146</v>
      </c>
      <c r="O59" s="223" t="s">
        <v>145</v>
      </c>
      <c r="P59" s="220">
        <f>P61+P63+P65</f>
        <v>0</v>
      </c>
      <c r="Q59" s="224" t="s">
        <v>146</v>
      </c>
      <c r="R59" s="277" t="s">
        <v>145</v>
      </c>
      <c r="S59" s="220">
        <f t="shared" si="27"/>
        <v>0</v>
      </c>
      <c r="T59" s="220" t="s">
        <v>146</v>
      </c>
      <c r="U59" s="221" t="s">
        <v>145</v>
      </c>
      <c r="V59" s="220">
        <f>V61+V63+V65</f>
        <v>0</v>
      </c>
      <c r="W59" s="222" t="s">
        <v>146</v>
      </c>
      <c r="X59" s="220" t="s">
        <v>145</v>
      </c>
      <c r="Y59" s="220">
        <f>Y61+Y63+Y65</f>
        <v>0</v>
      </c>
      <c r="Z59" s="220" t="s">
        <v>146</v>
      </c>
      <c r="AA59" s="221" t="s">
        <v>145</v>
      </c>
      <c r="AB59" s="220">
        <f t="shared" si="15"/>
        <v>0</v>
      </c>
      <c r="AC59" s="220" t="s">
        <v>146</v>
      </c>
      <c r="AD59" s="223" t="s">
        <v>145</v>
      </c>
      <c r="AE59" s="220">
        <f>AE61+AE63+AE65</f>
        <v>0</v>
      </c>
      <c r="AF59" s="242" t="s">
        <v>146</v>
      </c>
      <c r="AG59" s="444"/>
      <c r="AH59" s="229" t="s">
        <v>145</v>
      </c>
      <c r="AI59" s="220">
        <f t="shared" si="16"/>
        <v>0</v>
      </c>
      <c r="AJ59" s="230" t="s">
        <v>146</v>
      </c>
      <c r="AK59" s="232" t="s">
        <v>145</v>
      </c>
      <c r="AL59" s="220">
        <f>AL61+AL63+AL65</f>
        <v>0</v>
      </c>
      <c r="AM59" s="222" t="s">
        <v>146</v>
      </c>
      <c r="AN59" s="220" t="s">
        <v>145</v>
      </c>
      <c r="AO59" s="220">
        <f>AO61+AO63+AO65</f>
        <v>0</v>
      </c>
      <c r="AP59" s="230" t="s">
        <v>146</v>
      </c>
      <c r="AQ59" s="232" t="s">
        <v>145</v>
      </c>
      <c r="AR59" s="220">
        <f t="shared" si="25"/>
        <v>0</v>
      </c>
      <c r="AS59" s="230" t="s">
        <v>146</v>
      </c>
      <c r="AT59" s="233" t="s">
        <v>145</v>
      </c>
      <c r="AU59" s="220">
        <f>AU61+AU63+AU65</f>
        <v>0</v>
      </c>
      <c r="AV59" s="234" t="s">
        <v>146</v>
      </c>
      <c r="AW59" s="229" t="s">
        <v>145</v>
      </c>
      <c r="AX59" s="220">
        <f t="shared" si="17"/>
        <v>0</v>
      </c>
      <c r="AY59" s="230" t="s">
        <v>146</v>
      </c>
      <c r="AZ59" s="232" t="s">
        <v>145</v>
      </c>
      <c r="BA59" s="220">
        <f>BA61+BA63+BA65</f>
        <v>0</v>
      </c>
      <c r="BB59" s="222" t="s">
        <v>146</v>
      </c>
      <c r="BC59" s="220" t="s">
        <v>145</v>
      </c>
      <c r="BD59" s="220">
        <f>BD61+BD63+BD65</f>
        <v>0</v>
      </c>
      <c r="BE59" s="220" t="s">
        <v>146</v>
      </c>
      <c r="BF59" s="221" t="s">
        <v>145</v>
      </c>
      <c r="BG59" s="220">
        <f t="shared" si="18"/>
        <v>0</v>
      </c>
      <c r="BH59" s="220" t="s">
        <v>146</v>
      </c>
      <c r="BI59" s="223" t="s">
        <v>145</v>
      </c>
      <c r="BJ59" s="220">
        <f>BJ61+BJ63+BJ65</f>
        <v>0</v>
      </c>
      <c r="BK59" s="426" t="s">
        <v>146</v>
      </c>
      <c r="BL59" s="476"/>
      <c r="BM59" s="632"/>
      <c r="BN59" s="568" t="s">
        <v>287</v>
      </c>
      <c r="BO59" s="271" t="s">
        <v>145</v>
      </c>
      <c r="BP59" s="220">
        <f t="shared" si="21"/>
        <v>0</v>
      </c>
      <c r="BQ59" s="220" t="s">
        <v>146</v>
      </c>
      <c r="BR59" s="221" t="s">
        <v>145</v>
      </c>
      <c r="BS59" s="220">
        <f>BS61+BS63+BS65</f>
        <v>0</v>
      </c>
      <c r="BT59" s="222" t="s">
        <v>146</v>
      </c>
      <c r="BU59" s="220" t="s">
        <v>145</v>
      </c>
      <c r="BV59" s="220">
        <f>BV61+BV63+BV65</f>
        <v>0</v>
      </c>
      <c r="BW59" s="220" t="s">
        <v>146</v>
      </c>
      <c r="BX59" s="221" t="s">
        <v>145</v>
      </c>
      <c r="BY59" s="220">
        <f t="shared" si="19"/>
        <v>0</v>
      </c>
      <c r="BZ59" s="220" t="s">
        <v>146</v>
      </c>
      <c r="CA59" s="223" t="s">
        <v>145</v>
      </c>
      <c r="CB59" s="220">
        <f>CB61+CB63+CB65</f>
        <v>0</v>
      </c>
      <c r="CC59" s="426" t="s">
        <v>146</v>
      </c>
      <c r="CD59" s="229" t="s">
        <v>145</v>
      </c>
      <c r="CE59" s="220">
        <f t="shared" si="22"/>
        <v>880.4582389999999</v>
      </c>
      <c r="CF59" s="220" t="s">
        <v>146</v>
      </c>
      <c r="CG59" s="221" t="s">
        <v>145</v>
      </c>
      <c r="CH59" s="220">
        <f>CH61+CH63+CH65</f>
        <v>0</v>
      </c>
      <c r="CI59" s="222" t="s">
        <v>146</v>
      </c>
      <c r="CJ59" s="220" t="s">
        <v>145</v>
      </c>
      <c r="CK59" s="220">
        <f>CK61+CK63+CK65</f>
        <v>0.070039</v>
      </c>
      <c r="CL59" s="220" t="s">
        <v>146</v>
      </c>
      <c r="CM59" s="221" t="s">
        <v>145</v>
      </c>
      <c r="CN59" s="220">
        <f t="shared" si="26"/>
        <v>0.070039</v>
      </c>
      <c r="CO59" s="220" t="s">
        <v>146</v>
      </c>
      <c r="CP59" s="223" t="s">
        <v>145</v>
      </c>
      <c r="CQ59" s="220">
        <f>CQ61+CQ63+CQ65</f>
        <v>880.3882</v>
      </c>
      <c r="CR59" s="234" t="s">
        <v>146</v>
      </c>
      <c r="CS59" s="444"/>
      <c r="CT59" s="229" t="s">
        <v>145</v>
      </c>
      <c r="CU59" s="220">
        <f t="shared" si="23"/>
        <v>102.0782</v>
      </c>
      <c r="CV59" s="220" t="s">
        <v>146</v>
      </c>
      <c r="CW59" s="221" t="s">
        <v>145</v>
      </c>
      <c r="CX59" s="220">
        <f>CX61+CX63+CX65</f>
        <v>102.0782</v>
      </c>
      <c r="CY59" s="222" t="s">
        <v>146</v>
      </c>
      <c r="CZ59" s="220" t="s">
        <v>145</v>
      </c>
      <c r="DA59" s="220">
        <f>DA61+DA63+DA65</f>
        <v>0</v>
      </c>
      <c r="DB59" s="220" t="s">
        <v>146</v>
      </c>
      <c r="DC59" s="221" t="s">
        <v>145</v>
      </c>
      <c r="DD59" s="220">
        <f t="shared" si="20"/>
        <v>102.0782</v>
      </c>
      <c r="DE59" s="220" t="s">
        <v>146</v>
      </c>
      <c r="DF59" s="223" t="s">
        <v>145</v>
      </c>
      <c r="DG59" s="220">
        <f>DG61+DG63+DG65</f>
        <v>0</v>
      </c>
      <c r="DH59" s="234" t="s">
        <v>146</v>
      </c>
      <c r="DI59" s="456"/>
      <c r="DJ59" s="473"/>
      <c r="DK59" s="200"/>
    </row>
    <row r="60" spans="1:115" s="442" customFormat="1" ht="15.75" customHeight="1" thickBot="1">
      <c r="A60" s="633"/>
      <c r="B60" s="631"/>
      <c r="C60" s="449"/>
      <c r="D60" s="446">
        <f t="shared" si="13"/>
        <v>2.3906</v>
      </c>
      <c r="E60" s="446"/>
      <c r="F60" s="452"/>
      <c r="G60" s="451">
        <f>G62+G64+G66</f>
        <v>0</v>
      </c>
      <c r="H60" s="451"/>
      <c r="I60" s="452"/>
      <c r="J60" s="451">
        <f>J62+J64+J66</f>
        <v>0</v>
      </c>
      <c r="K60" s="451"/>
      <c r="L60" s="452"/>
      <c r="M60" s="446">
        <f t="shared" si="14"/>
        <v>0</v>
      </c>
      <c r="N60" s="451"/>
      <c r="O60" s="447"/>
      <c r="P60" s="451">
        <f>P62+P64+P66</f>
        <v>2.3906</v>
      </c>
      <c r="Q60" s="446"/>
      <c r="R60" s="449"/>
      <c r="S60" s="446">
        <f t="shared" si="27"/>
        <v>5.0306</v>
      </c>
      <c r="T60" s="446"/>
      <c r="U60" s="447"/>
      <c r="V60" s="451">
        <f>V62+V64+V66</f>
        <v>0</v>
      </c>
      <c r="W60" s="446"/>
      <c r="X60" s="447"/>
      <c r="Y60" s="451">
        <f>Y62+Y64+Y66</f>
        <v>0</v>
      </c>
      <c r="Z60" s="446"/>
      <c r="AA60" s="447"/>
      <c r="AB60" s="446">
        <f t="shared" si="15"/>
        <v>0</v>
      </c>
      <c r="AC60" s="446"/>
      <c r="AD60" s="447"/>
      <c r="AE60" s="451">
        <f>AE62+AE64+AE66</f>
        <v>5.0306</v>
      </c>
      <c r="AF60" s="450"/>
      <c r="AG60" s="444"/>
      <c r="AH60" s="449"/>
      <c r="AI60" s="446">
        <f t="shared" si="16"/>
        <v>98.674473</v>
      </c>
      <c r="AJ60" s="446"/>
      <c r="AK60" s="447"/>
      <c r="AL60" s="451">
        <f>AL62+AL64+AL66</f>
        <v>0</v>
      </c>
      <c r="AM60" s="446"/>
      <c r="AN60" s="447"/>
      <c r="AO60" s="451">
        <f>AO62+AO64+AO66</f>
        <v>1.495973</v>
      </c>
      <c r="AP60" s="446"/>
      <c r="AQ60" s="447"/>
      <c r="AR60" s="446">
        <f t="shared" si="25"/>
        <v>1.495973</v>
      </c>
      <c r="AS60" s="446"/>
      <c r="AT60" s="447"/>
      <c r="AU60" s="451">
        <f>AU62+AU64+AU66</f>
        <v>97.1785</v>
      </c>
      <c r="AV60" s="450"/>
      <c r="AW60" s="449"/>
      <c r="AX60" s="446">
        <f t="shared" si="17"/>
        <v>0</v>
      </c>
      <c r="AY60" s="446"/>
      <c r="AZ60" s="446"/>
      <c r="BA60" s="451">
        <f>BA62+BA64+BA66</f>
        <v>0</v>
      </c>
      <c r="BB60" s="446"/>
      <c r="BC60" s="447"/>
      <c r="BD60" s="451">
        <f>BD62+BD64+BD66</f>
        <v>0</v>
      </c>
      <c r="BE60" s="446"/>
      <c r="BF60" s="447"/>
      <c r="BG60" s="446">
        <f t="shared" si="18"/>
        <v>0</v>
      </c>
      <c r="BH60" s="446"/>
      <c r="BI60" s="446"/>
      <c r="BJ60" s="451">
        <f>BJ62+BJ64+BJ66</f>
        <v>0</v>
      </c>
      <c r="BK60" s="450"/>
      <c r="BL60" s="475"/>
      <c r="BM60" s="633"/>
      <c r="BN60" s="631"/>
      <c r="BO60" s="455"/>
      <c r="BP60" s="446">
        <f t="shared" si="21"/>
        <v>6.8687000000000005</v>
      </c>
      <c r="BQ60" s="446"/>
      <c r="BR60" s="447"/>
      <c r="BS60" s="451">
        <f>BS62+BS64+BS66</f>
        <v>5.5567</v>
      </c>
      <c r="BT60" s="446"/>
      <c r="BU60" s="447"/>
      <c r="BV60" s="451">
        <f>BV62+BV64+BV66</f>
        <v>0</v>
      </c>
      <c r="BW60" s="446"/>
      <c r="BX60" s="447"/>
      <c r="BY60" s="446">
        <f t="shared" si="19"/>
        <v>5.5567</v>
      </c>
      <c r="BZ60" s="446"/>
      <c r="CA60" s="446"/>
      <c r="CB60" s="451">
        <f>CB62+CB64+CB66</f>
        <v>1.312</v>
      </c>
      <c r="CC60" s="450"/>
      <c r="CD60" s="449"/>
      <c r="CE60" s="446">
        <f t="shared" si="22"/>
        <v>0</v>
      </c>
      <c r="CF60" s="446"/>
      <c r="CG60" s="447"/>
      <c r="CH60" s="451">
        <f>CH62+CH64+CH66</f>
        <v>0</v>
      </c>
      <c r="CI60" s="446"/>
      <c r="CJ60" s="447"/>
      <c r="CK60" s="461">
        <f>CK62+CK64+CK66</f>
        <v>0</v>
      </c>
      <c r="CL60" s="446"/>
      <c r="CM60" s="447"/>
      <c r="CN60" s="446">
        <f t="shared" si="26"/>
        <v>0</v>
      </c>
      <c r="CO60" s="446"/>
      <c r="CP60" s="447"/>
      <c r="CQ60" s="451">
        <f>CQ62+CQ64+CQ66</f>
        <v>0</v>
      </c>
      <c r="CR60" s="450"/>
      <c r="CS60" s="444"/>
      <c r="CT60" s="449"/>
      <c r="CU60" s="448">
        <f t="shared" si="23"/>
        <v>0.3391</v>
      </c>
      <c r="CV60" s="446"/>
      <c r="CW60" s="447"/>
      <c r="CX60" s="474">
        <f>CX62+CX64+CX66</f>
        <v>0.3391</v>
      </c>
      <c r="CY60" s="446"/>
      <c r="CZ60" s="447"/>
      <c r="DA60" s="451">
        <f>DA62+DA64+DA66</f>
        <v>0</v>
      </c>
      <c r="DB60" s="446"/>
      <c r="DC60" s="447"/>
      <c r="DD60" s="448">
        <f t="shared" si="20"/>
        <v>0.3391</v>
      </c>
      <c r="DE60" s="446"/>
      <c r="DF60" s="447"/>
      <c r="DG60" s="451">
        <f>DG62+DG64+DG66</f>
        <v>0</v>
      </c>
      <c r="DH60" s="446"/>
      <c r="DI60" s="445"/>
      <c r="DJ60" s="473"/>
      <c r="DK60" s="200"/>
    </row>
    <row r="61" spans="1:114" s="197" customFormat="1" ht="15.75" customHeight="1">
      <c r="A61" s="610">
        <f>A57+1</f>
        <v>17</v>
      </c>
      <c r="B61" s="578" t="s">
        <v>167</v>
      </c>
      <c r="C61" s="209" t="s">
        <v>145</v>
      </c>
      <c r="D61" s="209">
        <f t="shared" si="13"/>
        <v>0</v>
      </c>
      <c r="E61" s="209" t="s">
        <v>146</v>
      </c>
      <c r="F61" s="427" t="s">
        <v>145</v>
      </c>
      <c r="G61" s="252"/>
      <c r="H61" s="252" t="s">
        <v>146</v>
      </c>
      <c r="I61" s="427" t="s">
        <v>145</v>
      </c>
      <c r="J61" s="252"/>
      <c r="K61" s="252" t="s">
        <v>146</v>
      </c>
      <c r="L61" s="427" t="s">
        <v>145</v>
      </c>
      <c r="M61" s="209">
        <f t="shared" si="14"/>
        <v>0</v>
      </c>
      <c r="N61" s="252" t="s">
        <v>146</v>
      </c>
      <c r="O61" s="212" t="s">
        <v>145</v>
      </c>
      <c r="P61" s="209"/>
      <c r="Q61" s="209" t="s">
        <v>146</v>
      </c>
      <c r="R61" s="208" t="s">
        <v>145</v>
      </c>
      <c r="S61" s="209">
        <f t="shared" si="27"/>
        <v>0</v>
      </c>
      <c r="T61" s="209" t="s">
        <v>146</v>
      </c>
      <c r="U61" s="212" t="s">
        <v>145</v>
      </c>
      <c r="V61" s="209"/>
      <c r="W61" s="209" t="s">
        <v>146</v>
      </c>
      <c r="X61" s="212" t="s">
        <v>145</v>
      </c>
      <c r="Y61" s="209"/>
      <c r="Z61" s="209" t="s">
        <v>146</v>
      </c>
      <c r="AA61" s="212" t="s">
        <v>145</v>
      </c>
      <c r="AB61" s="209">
        <f t="shared" si="15"/>
        <v>0</v>
      </c>
      <c r="AC61" s="209" t="s">
        <v>146</v>
      </c>
      <c r="AD61" s="212" t="s">
        <v>145</v>
      </c>
      <c r="AE61" s="209"/>
      <c r="AF61" s="211" t="s">
        <v>146</v>
      </c>
      <c r="AG61" s="209"/>
      <c r="AH61" s="208" t="s">
        <v>145</v>
      </c>
      <c r="AI61" s="209">
        <f t="shared" si="16"/>
        <v>0</v>
      </c>
      <c r="AJ61" s="209" t="s">
        <v>146</v>
      </c>
      <c r="AK61" s="212" t="s">
        <v>145</v>
      </c>
      <c r="AL61" s="209"/>
      <c r="AM61" s="209" t="s">
        <v>146</v>
      </c>
      <c r="AN61" s="212" t="s">
        <v>145</v>
      </c>
      <c r="AO61" s="209"/>
      <c r="AP61" s="209" t="s">
        <v>146</v>
      </c>
      <c r="AQ61" s="212" t="s">
        <v>145</v>
      </c>
      <c r="AR61" s="209">
        <f t="shared" si="25"/>
        <v>0</v>
      </c>
      <c r="AS61" s="209" t="s">
        <v>146</v>
      </c>
      <c r="AT61" s="212" t="s">
        <v>145</v>
      </c>
      <c r="AU61" s="209"/>
      <c r="AV61" s="211" t="s">
        <v>146</v>
      </c>
      <c r="AW61" s="208" t="s">
        <v>145</v>
      </c>
      <c r="AX61" s="209">
        <f t="shared" si="17"/>
        <v>0</v>
      </c>
      <c r="AY61" s="209" t="s">
        <v>146</v>
      </c>
      <c r="AZ61" s="212" t="s">
        <v>145</v>
      </c>
      <c r="BA61" s="209"/>
      <c r="BB61" s="209" t="s">
        <v>146</v>
      </c>
      <c r="BC61" s="212" t="s">
        <v>145</v>
      </c>
      <c r="BD61" s="209"/>
      <c r="BE61" s="209" t="s">
        <v>146</v>
      </c>
      <c r="BF61" s="212" t="s">
        <v>145</v>
      </c>
      <c r="BG61" s="209">
        <f t="shared" si="18"/>
        <v>0</v>
      </c>
      <c r="BH61" s="209" t="s">
        <v>146</v>
      </c>
      <c r="BI61" s="212" t="s">
        <v>145</v>
      </c>
      <c r="BJ61" s="209"/>
      <c r="BK61" s="209" t="s">
        <v>146</v>
      </c>
      <c r="BL61" s="654">
        <f>BL57+1</f>
        <v>17</v>
      </c>
      <c r="BM61" s="580">
        <f>BM57+1</f>
        <v>17</v>
      </c>
      <c r="BN61" s="574" t="s">
        <v>167</v>
      </c>
      <c r="BO61" s="209" t="s">
        <v>145</v>
      </c>
      <c r="BP61" s="209">
        <f t="shared" si="21"/>
        <v>0</v>
      </c>
      <c r="BQ61" s="209" t="s">
        <v>146</v>
      </c>
      <c r="BR61" s="212" t="s">
        <v>145</v>
      </c>
      <c r="BS61" s="209"/>
      <c r="BT61" s="209" t="s">
        <v>146</v>
      </c>
      <c r="BU61" s="212" t="s">
        <v>145</v>
      </c>
      <c r="BV61" s="209"/>
      <c r="BW61" s="209" t="s">
        <v>146</v>
      </c>
      <c r="BX61" s="212" t="s">
        <v>145</v>
      </c>
      <c r="BY61" s="209">
        <f t="shared" si="19"/>
        <v>0</v>
      </c>
      <c r="BZ61" s="209" t="s">
        <v>146</v>
      </c>
      <c r="CA61" s="212" t="s">
        <v>145</v>
      </c>
      <c r="CB61" s="209"/>
      <c r="CC61" s="209" t="s">
        <v>146</v>
      </c>
      <c r="CD61" s="208" t="s">
        <v>145</v>
      </c>
      <c r="CE61" s="209">
        <f t="shared" si="22"/>
        <v>682.708439</v>
      </c>
      <c r="CF61" s="209" t="s">
        <v>146</v>
      </c>
      <c r="CG61" s="212" t="s">
        <v>145</v>
      </c>
      <c r="CH61" s="209"/>
      <c r="CI61" s="209" t="s">
        <v>146</v>
      </c>
      <c r="CJ61" s="212" t="s">
        <v>145</v>
      </c>
      <c r="CK61" s="314">
        <f>0.001211+0.005728</f>
        <v>0.006939</v>
      </c>
      <c r="CL61" s="209" t="s">
        <v>146</v>
      </c>
      <c r="CM61" s="212" t="s">
        <v>145</v>
      </c>
      <c r="CN61" s="209">
        <f t="shared" si="26"/>
        <v>0.006939</v>
      </c>
      <c r="CO61" s="209" t="s">
        <v>146</v>
      </c>
      <c r="CP61" s="212" t="s">
        <v>145</v>
      </c>
      <c r="CQ61" s="209">
        <v>682.7015</v>
      </c>
      <c r="CR61" s="211" t="s">
        <v>146</v>
      </c>
      <c r="CS61" s="209"/>
      <c r="CT61" s="208" t="s">
        <v>145</v>
      </c>
      <c r="CU61" s="209">
        <f t="shared" si="23"/>
        <v>102.0782</v>
      </c>
      <c r="CV61" s="209" t="s">
        <v>146</v>
      </c>
      <c r="CW61" s="212" t="s">
        <v>145</v>
      </c>
      <c r="CX61" s="209">
        <v>102.0782</v>
      </c>
      <c r="CY61" s="209" t="s">
        <v>146</v>
      </c>
      <c r="CZ61" s="212" t="s">
        <v>145</v>
      </c>
      <c r="DA61" s="209"/>
      <c r="DB61" s="209" t="s">
        <v>146</v>
      </c>
      <c r="DC61" s="212" t="s">
        <v>145</v>
      </c>
      <c r="DD61" s="209">
        <f t="shared" si="20"/>
        <v>102.0782</v>
      </c>
      <c r="DE61" s="209" t="s">
        <v>146</v>
      </c>
      <c r="DF61" s="212" t="s">
        <v>145</v>
      </c>
      <c r="DG61" s="209"/>
      <c r="DH61" s="211" t="s">
        <v>146</v>
      </c>
      <c r="DI61" s="650">
        <f>DI57+1</f>
        <v>17</v>
      </c>
      <c r="DJ61" s="199"/>
    </row>
    <row r="62" spans="1:114" s="197" customFormat="1" ht="15.75" customHeight="1">
      <c r="A62" s="610"/>
      <c r="B62" s="611"/>
      <c r="C62" s="254"/>
      <c r="D62" s="254">
        <f t="shared" si="13"/>
        <v>2.3906</v>
      </c>
      <c r="E62" s="254"/>
      <c r="F62" s="431"/>
      <c r="G62" s="263"/>
      <c r="H62" s="263"/>
      <c r="I62" s="431"/>
      <c r="J62" s="263"/>
      <c r="K62" s="263"/>
      <c r="L62" s="431"/>
      <c r="M62" s="254">
        <f t="shared" si="14"/>
        <v>0</v>
      </c>
      <c r="N62" s="263"/>
      <c r="O62" s="255"/>
      <c r="P62" s="254">
        <v>2.3906</v>
      </c>
      <c r="Q62" s="254"/>
      <c r="R62" s="264"/>
      <c r="S62" s="254">
        <f t="shared" si="27"/>
        <v>4.5306</v>
      </c>
      <c r="T62" s="254"/>
      <c r="U62" s="255"/>
      <c r="V62" s="254"/>
      <c r="W62" s="254"/>
      <c r="X62" s="255"/>
      <c r="Y62" s="254"/>
      <c r="Z62" s="254"/>
      <c r="AA62" s="255"/>
      <c r="AB62" s="254">
        <f t="shared" si="15"/>
        <v>0</v>
      </c>
      <c r="AC62" s="254"/>
      <c r="AD62" s="255"/>
      <c r="AE62" s="254">
        <v>4.5306</v>
      </c>
      <c r="AF62" s="265"/>
      <c r="AG62" s="209"/>
      <c r="AH62" s="264"/>
      <c r="AI62" s="254">
        <f t="shared" si="16"/>
        <v>98.674473</v>
      </c>
      <c r="AJ62" s="254"/>
      <c r="AK62" s="255"/>
      <c r="AL62" s="254"/>
      <c r="AM62" s="254"/>
      <c r="AN62" s="255"/>
      <c r="AO62" s="254">
        <f>1.495973</f>
        <v>1.495973</v>
      </c>
      <c r="AP62" s="254"/>
      <c r="AQ62" s="255"/>
      <c r="AR62" s="254">
        <f t="shared" si="25"/>
        <v>1.495973</v>
      </c>
      <c r="AS62" s="254"/>
      <c r="AT62" s="255"/>
      <c r="AU62" s="254">
        <v>97.1785</v>
      </c>
      <c r="AV62" s="265"/>
      <c r="AW62" s="264"/>
      <c r="AX62" s="254">
        <f t="shared" si="17"/>
        <v>0</v>
      </c>
      <c r="AY62" s="254"/>
      <c r="AZ62" s="255"/>
      <c r="BA62" s="254"/>
      <c r="BB62" s="254"/>
      <c r="BC62" s="255"/>
      <c r="BD62" s="254"/>
      <c r="BE62" s="254"/>
      <c r="BF62" s="255"/>
      <c r="BG62" s="254">
        <f t="shared" si="18"/>
        <v>0</v>
      </c>
      <c r="BH62" s="254"/>
      <c r="BI62" s="255"/>
      <c r="BJ62" s="254"/>
      <c r="BK62" s="254"/>
      <c r="BL62" s="654"/>
      <c r="BM62" s="610"/>
      <c r="BN62" s="611"/>
      <c r="BO62" s="254"/>
      <c r="BP62" s="254">
        <f t="shared" si="21"/>
        <v>6.8687000000000005</v>
      </c>
      <c r="BQ62" s="254"/>
      <c r="BR62" s="255"/>
      <c r="BS62" s="254">
        <v>5.5567</v>
      </c>
      <c r="BT62" s="254"/>
      <c r="BU62" s="255"/>
      <c r="BV62" s="254"/>
      <c r="BW62" s="254"/>
      <c r="BX62" s="255"/>
      <c r="BY62" s="254">
        <f t="shared" si="19"/>
        <v>5.5567</v>
      </c>
      <c r="BZ62" s="254"/>
      <c r="CA62" s="255"/>
      <c r="CB62" s="254">
        <v>1.312</v>
      </c>
      <c r="CC62" s="254"/>
      <c r="CD62" s="264"/>
      <c r="CE62" s="254">
        <f t="shared" si="22"/>
        <v>0</v>
      </c>
      <c r="CF62" s="254"/>
      <c r="CG62" s="255"/>
      <c r="CH62" s="254"/>
      <c r="CI62" s="254"/>
      <c r="CJ62" s="255"/>
      <c r="CK62" s="254"/>
      <c r="CL62" s="254"/>
      <c r="CM62" s="255"/>
      <c r="CN62" s="254">
        <f t="shared" si="26"/>
        <v>0</v>
      </c>
      <c r="CO62" s="254"/>
      <c r="CP62" s="255"/>
      <c r="CQ62" s="254"/>
      <c r="CR62" s="265"/>
      <c r="CS62" s="209"/>
      <c r="CT62" s="264"/>
      <c r="CU62" s="286">
        <f t="shared" si="23"/>
        <v>0.3391</v>
      </c>
      <c r="CV62" s="254"/>
      <c r="CW62" s="255"/>
      <c r="CX62" s="286">
        <v>0.3391</v>
      </c>
      <c r="CY62" s="254"/>
      <c r="CZ62" s="255"/>
      <c r="DA62" s="254"/>
      <c r="DB62" s="254"/>
      <c r="DC62" s="255"/>
      <c r="DD62" s="286">
        <f t="shared" si="20"/>
        <v>0.3391</v>
      </c>
      <c r="DE62" s="254"/>
      <c r="DF62" s="255"/>
      <c r="DG62" s="254"/>
      <c r="DH62" s="265"/>
      <c r="DI62" s="656"/>
      <c r="DJ62" s="199"/>
    </row>
    <row r="63" spans="1:114" s="197" customFormat="1" ht="15.75" customHeight="1">
      <c r="A63" s="610">
        <f>A61+1</f>
        <v>18</v>
      </c>
      <c r="B63" s="578" t="s">
        <v>168</v>
      </c>
      <c r="C63" s="258" t="s">
        <v>145</v>
      </c>
      <c r="D63" s="209">
        <f t="shared" si="13"/>
        <v>0</v>
      </c>
      <c r="E63" s="258" t="s">
        <v>146</v>
      </c>
      <c r="F63" s="430" t="s">
        <v>145</v>
      </c>
      <c r="G63" s="260"/>
      <c r="H63" s="260" t="s">
        <v>146</v>
      </c>
      <c r="I63" s="430" t="s">
        <v>145</v>
      </c>
      <c r="J63" s="260"/>
      <c r="K63" s="260" t="s">
        <v>146</v>
      </c>
      <c r="L63" s="430" t="s">
        <v>145</v>
      </c>
      <c r="M63" s="209">
        <f t="shared" si="14"/>
        <v>0</v>
      </c>
      <c r="N63" s="260" t="s">
        <v>146</v>
      </c>
      <c r="O63" s="259" t="s">
        <v>145</v>
      </c>
      <c r="P63" s="258"/>
      <c r="Q63" s="258" t="s">
        <v>146</v>
      </c>
      <c r="R63" s="261" t="s">
        <v>145</v>
      </c>
      <c r="S63" s="209">
        <f t="shared" si="27"/>
        <v>0</v>
      </c>
      <c r="T63" s="258" t="s">
        <v>146</v>
      </c>
      <c r="U63" s="259" t="s">
        <v>145</v>
      </c>
      <c r="V63" s="258"/>
      <c r="W63" s="258" t="s">
        <v>146</v>
      </c>
      <c r="X63" s="259" t="s">
        <v>145</v>
      </c>
      <c r="Y63" s="258"/>
      <c r="Z63" s="258" t="s">
        <v>146</v>
      </c>
      <c r="AA63" s="259" t="s">
        <v>145</v>
      </c>
      <c r="AB63" s="209">
        <f t="shared" si="15"/>
        <v>0</v>
      </c>
      <c r="AC63" s="258" t="s">
        <v>146</v>
      </c>
      <c r="AD63" s="259" t="s">
        <v>145</v>
      </c>
      <c r="AE63" s="258"/>
      <c r="AF63" s="262" t="s">
        <v>146</v>
      </c>
      <c r="AG63" s="209"/>
      <c r="AH63" s="261" t="s">
        <v>145</v>
      </c>
      <c r="AI63" s="209">
        <f t="shared" si="16"/>
        <v>0</v>
      </c>
      <c r="AJ63" s="258" t="s">
        <v>146</v>
      </c>
      <c r="AK63" s="259" t="s">
        <v>145</v>
      </c>
      <c r="AL63" s="258"/>
      <c r="AM63" s="258" t="s">
        <v>146</v>
      </c>
      <c r="AN63" s="259" t="s">
        <v>145</v>
      </c>
      <c r="AO63" s="258"/>
      <c r="AP63" s="258" t="s">
        <v>146</v>
      </c>
      <c r="AQ63" s="259" t="s">
        <v>145</v>
      </c>
      <c r="AR63" s="209">
        <f t="shared" si="25"/>
        <v>0</v>
      </c>
      <c r="AS63" s="258" t="s">
        <v>146</v>
      </c>
      <c r="AT63" s="259" t="s">
        <v>145</v>
      </c>
      <c r="AU63" s="258"/>
      <c r="AV63" s="262" t="s">
        <v>146</v>
      </c>
      <c r="AW63" s="261" t="s">
        <v>145</v>
      </c>
      <c r="AX63" s="209">
        <f t="shared" si="17"/>
        <v>0</v>
      </c>
      <c r="AY63" s="258" t="s">
        <v>146</v>
      </c>
      <c r="AZ63" s="259" t="s">
        <v>145</v>
      </c>
      <c r="BA63" s="258"/>
      <c r="BB63" s="258" t="s">
        <v>146</v>
      </c>
      <c r="BC63" s="259" t="s">
        <v>145</v>
      </c>
      <c r="BD63" s="258"/>
      <c r="BE63" s="258" t="s">
        <v>146</v>
      </c>
      <c r="BF63" s="259" t="s">
        <v>145</v>
      </c>
      <c r="BG63" s="209">
        <f t="shared" si="18"/>
        <v>0</v>
      </c>
      <c r="BH63" s="258" t="s">
        <v>146</v>
      </c>
      <c r="BI63" s="259" t="s">
        <v>145</v>
      </c>
      <c r="BJ63" s="258"/>
      <c r="BK63" s="258" t="s">
        <v>146</v>
      </c>
      <c r="BL63" s="654">
        <f>BL61+1</f>
        <v>18</v>
      </c>
      <c r="BM63" s="610">
        <f>BM61+1</f>
        <v>18</v>
      </c>
      <c r="BN63" s="578" t="s">
        <v>168</v>
      </c>
      <c r="BO63" s="258" t="s">
        <v>145</v>
      </c>
      <c r="BP63" s="209">
        <f t="shared" si="21"/>
        <v>0</v>
      </c>
      <c r="BQ63" s="258" t="s">
        <v>146</v>
      </c>
      <c r="BR63" s="259" t="s">
        <v>145</v>
      </c>
      <c r="BS63" s="258"/>
      <c r="BT63" s="258" t="s">
        <v>146</v>
      </c>
      <c r="BU63" s="259" t="s">
        <v>145</v>
      </c>
      <c r="BV63" s="258"/>
      <c r="BW63" s="258" t="s">
        <v>146</v>
      </c>
      <c r="BX63" s="259" t="s">
        <v>145</v>
      </c>
      <c r="BY63" s="209">
        <f t="shared" si="19"/>
        <v>0</v>
      </c>
      <c r="BZ63" s="258" t="s">
        <v>146</v>
      </c>
      <c r="CA63" s="259" t="s">
        <v>145</v>
      </c>
      <c r="CB63" s="258"/>
      <c r="CC63" s="258" t="s">
        <v>146</v>
      </c>
      <c r="CD63" s="261" t="s">
        <v>145</v>
      </c>
      <c r="CE63" s="209">
        <f t="shared" si="22"/>
        <v>76.0082</v>
      </c>
      <c r="CF63" s="258" t="s">
        <v>146</v>
      </c>
      <c r="CG63" s="259" t="s">
        <v>145</v>
      </c>
      <c r="CH63" s="258"/>
      <c r="CI63" s="258" t="s">
        <v>146</v>
      </c>
      <c r="CJ63" s="259" t="s">
        <v>145</v>
      </c>
      <c r="CK63" s="258"/>
      <c r="CL63" s="258" t="s">
        <v>146</v>
      </c>
      <c r="CM63" s="259" t="s">
        <v>145</v>
      </c>
      <c r="CN63" s="209">
        <f t="shared" si="26"/>
        <v>0</v>
      </c>
      <c r="CO63" s="258" t="s">
        <v>146</v>
      </c>
      <c r="CP63" s="259" t="s">
        <v>145</v>
      </c>
      <c r="CQ63" s="258">
        <v>76.0082</v>
      </c>
      <c r="CR63" s="262" t="s">
        <v>146</v>
      </c>
      <c r="CS63" s="209"/>
      <c r="CT63" s="261" t="s">
        <v>145</v>
      </c>
      <c r="CU63" s="209">
        <f t="shared" si="23"/>
        <v>0</v>
      </c>
      <c r="CV63" s="258" t="s">
        <v>146</v>
      </c>
      <c r="CW63" s="259" t="s">
        <v>145</v>
      </c>
      <c r="CX63" s="258"/>
      <c r="CY63" s="258" t="s">
        <v>146</v>
      </c>
      <c r="CZ63" s="259" t="s">
        <v>145</v>
      </c>
      <c r="DA63" s="258"/>
      <c r="DB63" s="258" t="s">
        <v>146</v>
      </c>
      <c r="DC63" s="259" t="s">
        <v>145</v>
      </c>
      <c r="DD63" s="209">
        <f t="shared" si="20"/>
        <v>0</v>
      </c>
      <c r="DE63" s="258" t="s">
        <v>146</v>
      </c>
      <c r="DF63" s="259" t="s">
        <v>145</v>
      </c>
      <c r="DG63" s="258"/>
      <c r="DH63" s="262" t="s">
        <v>146</v>
      </c>
      <c r="DI63" s="655">
        <f>DI61+1</f>
        <v>18</v>
      </c>
      <c r="DJ63" s="199"/>
    </row>
    <row r="64" spans="1:114" s="197" customFormat="1" ht="15.75" customHeight="1">
      <c r="A64" s="610"/>
      <c r="B64" s="611"/>
      <c r="C64" s="254"/>
      <c r="D64" s="254">
        <f t="shared" si="13"/>
        <v>0</v>
      </c>
      <c r="E64" s="254"/>
      <c r="F64" s="431"/>
      <c r="G64" s="263"/>
      <c r="H64" s="263"/>
      <c r="I64" s="431"/>
      <c r="J64" s="263"/>
      <c r="K64" s="263"/>
      <c r="L64" s="431"/>
      <c r="M64" s="254">
        <f t="shared" si="14"/>
        <v>0</v>
      </c>
      <c r="N64" s="263"/>
      <c r="O64" s="255"/>
      <c r="P64" s="254"/>
      <c r="Q64" s="254"/>
      <c r="R64" s="264"/>
      <c r="S64" s="254">
        <f t="shared" si="27"/>
        <v>0</v>
      </c>
      <c r="T64" s="254"/>
      <c r="U64" s="255"/>
      <c r="V64" s="254"/>
      <c r="W64" s="254"/>
      <c r="X64" s="255"/>
      <c r="Y64" s="254"/>
      <c r="Z64" s="254"/>
      <c r="AA64" s="255"/>
      <c r="AB64" s="254">
        <f t="shared" si="15"/>
        <v>0</v>
      </c>
      <c r="AC64" s="254"/>
      <c r="AD64" s="255"/>
      <c r="AE64" s="254"/>
      <c r="AF64" s="265"/>
      <c r="AG64" s="209"/>
      <c r="AH64" s="264"/>
      <c r="AI64" s="254">
        <f t="shared" si="16"/>
        <v>0</v>
      </c>
      <c r="AJ64" s="254"/>
      <c r="AK64" s="255"/>
      <c r="AL64" s="254"/>
      <c r="AM64" s="254"/>
      <c r="AN64" s="255"/>
      <c r="AO64" s="254"/>
      <c r="AP64" s="254"/>
      <c r="AQ64" s="255"/>
      <c r="AR64" s="254">
        <f t="shared" si="25"/>
        <v>0</v>
      </c>
      <c r="AS64" s="254"/>
      <c r="AT64" s="255"/>
      <c r="AU64" s="254"/>
      <c r="AV64" s="265"/>
      <c r="AW64" s="264"/>
      <c r="AX64" s="254">
        <f t="shared" si="17"/>
        <v>0</v>
      </c>
      <c r="AY64" s="254"/>
      <c r="AZ64" s="255"/>
      <c r="BA64" s="254"/>
      <c r="BB64" s="254"/>
      <c r="BC64" s="255"/>
      <c r="BD64" s="254"/>
      <c r="BE64" s="254"/>
      <c r="BF64" s="255"/>
      <c r="BG64" s="254">
        <f t="shared" si="18"/>
        <v>0</v>
      </c>
      <c r="BH64" s="254"/>
      <c r="BI64" s="255"/>
      <c r="BJ64" s="254"/>
      <c r="BK64" s="254"/>
      <c r="BL64" s="654"/>
      <c r="BM64" s="610"/>
      <c r="BN64" s="611"/>
      <c r="BO64" s="254"/>
      <c r="BP64" s="254">
        <f t="shared" si="21"/>
        <v>0</v>
      </c>
      <c r="BQ64" s="254"/>
      <c r="BR64" s="255"/>
      <c r="BS64" s="254"/>
      <c r="BT64" s="254"/>
      <c r="BU64" s="255"/>
      <c r="BV64" s="254"/>
      <c r="BW64" s="254"/>
      <c r="BX64" s="255"/>
      <c r="BY64" s="254">
        <f t="shared" si="19"/>
        <v>0</v>
      </c>
      <c r="BZ64" s="254"/>
      <c r="CA64" s="255"/>
      <c r="CB64" s="254"/>
      <c r="CC64" s="254"/>
      <c r="CD64" s="264"/>
      <c r="CE64" s="254">
        <f t="shared" si="22"/>
        <v>0</v>
      </c>
      <c r="CF64" s="254"/>
      <c r="CG64" s="255"/>
      <c r="CH64" s="254"/>
      <c r="CI64" s="254"/>
      <c r="CJ64" s="255"/>
      <c r="CK64" s="254"/>
      <c r="CL64" s="254"/>
      <c r="CM64" s="255"/>
      <c r="CN64" s="254">
        <f t="shared" si="26"/>
        <v>0</v>
      </c>
      <c r="CO64" s="254"/>
      <c r="CP64" s="255"/>
      <c r="CQ64" s="254"/>
      <c r="CR64" s="265"/>
      <c r="CS64" s="209"/>
      <c r="CT64" s="264"/>
      <c r="CU64" s="254">
        <f t="shared" si="23"/>
        <v>0</v>
      </c>
      <c r="CV64" s="254"/>
      <c r="CW64" s="255"/>
      <c r="CX64" s="254"/>
      <c r="CY64" s="254"/>
      <c r="CZ64" s="255"/>
      <c r="DA64" s="254"/>
      <c r="DB64" s="254"/>
      <c r="DC64" s="255"/>
      <c r="DD64" s="286">
        <f t="shared" si="20"/>
        <v>0</v>
      </c>
      <c r="DE64" s="254"/>
      <c r="DF64" s="255"/>
      <c r="DG64" s="254"/>
      <c r="DH64" s="265"/>
      <c r="DI64" s="656"/>
      <c r="DJ64" s="199"/>
    </row>
    <row r="65" spans="1:114" s="197" customFormat="1" ht="15.75" customHeight="1">
      <c r="A65" s="579">
        <f>A63+1</f>
        <v>19</v>
      </c>
      <c r="B65" s="578" t="s">
        <v>169</v>
      </c>
      <c r="C65" s="258" t="s">
        <v>145</v>
      </c>
      <c r="D65" s="209">
        <f t="shared" si="13"/>
        <v>0</v>
      </c>
      <c r="E65" s="258" t="s">
        <v>146</v>
      </c>
      <c r="F65" s="430" t="s">
        <v>145</v>
      </c>
      <c r="G65" s="260"/>
      <c r="H65" s="260" t="s">
        <v>146</v>
      </c>
      <c r="I65" s="430" t="s">
        <v>145</v>
      </c>
      <c r="J65" s="260"/>
      <c r="K65" s="260" t="s">
        <v>146</v>
      </c>
      <c r="L65" s="430" t="s">
        <v>145</v>
      </c>
      <c r="M65" s="209">
        <f t="shared" si="14"/>
        <v>0</v>
      </c>
      <c r="N65" s="260" t="s">
        <v>146</v>
      </c>
      <c r="O65" s="259" t="s">
        <v>145</v>
      </c>
      <c r="P65" s="258"/>
      <c r="Q65" s="258" t="s">
        <v>146</v>
      </c>
      <c r="R65" s="261" t="s">
        <v>145</v>
      </c>
      <c r="S65" s="209">
        <f t="shared" si="27"/>
        <v>0</v>
      </c>
      <c r="T65" s="258" t="s">
        <v>146</v>
      </c>
      <c r="U65" s="259" t="s">
        <v>145</v>
      </c>
      <c r="V65" s="258"/>
      <c r="W65" s="258" t="s">
        <v>146</v>
      </c>
      <c r="X65" s="259" t="s">
        <v>145</v>
      </c>
      <c r="Y65" s="258"/>
      <c r="Z65" s="258" t="s">
        <v>146</v>
      </c>
      <c r="AA65" s="259" t="s">
        <v>145</v>
      </c>
      <c r="AB65" s="209">
        <f t="shared" si="15"/>
        <v>0</v>
      </c>
      <c r="AC65" s="258" t="s">
        <v>146</v>
      </c>
      <c r="AD65" s="259" t="s">
        <v>145</v>
      </c>
      <c r="AE65" s="258"/>
      <c r="AF65" s="262" t="s">
        <v>146</v>
      </c>
      <c r="AG65" s="209"/>
      <c r="AH65" s="261" t="s">
        <v>145</v>
      </c>
      <c r="AI65" s="209">
        <f t="shared" si="16"/>
        <v>0</v>
      </c>
      <c r="AJ65" s="258" t="s">
        <v>146</v>
      </c>
      <c r="AK65" s="259" t="s">
        <v>145</v>
      </c>
      <c r="AL65" s="258"/>
      <c r="AM65" s="258" t="s">
        <v>146</v>
      </c>
      <c r="AN65" s="259" t="s">
        <v>145</v>
      </c>
      <c r="AO65" s="258"/>
      <c r="AP65" s="258" t="s">
        <v>146</v>
      </c>
      <c r="AQ65" s="259" t="s">
        <v>145</v>
      </c>
      <c r="AR65" s="209">
        <f t="shared" si="25"/>
        <v>0</v>
      </c>
      <c r="AS65" s="258" t="s">
        <v>146</v>
      </c>
      <c r="AT65" s="259" t="s">
        <v>145</v>
      </c>
      <c r="AU65" s="258"/>
      <c r="AV65" s="262" t="s">
        <v>146</v>
      </c>
      <c r="AW65" s="261" t="s">
        <v>145</v>
      </c>
      <c r="AX65" s="209">
        <f t="shared" si="17"/>
        <v>0</v>
      </c>
      <c r="AY65" s="258" t="s">
        <v>146</v>
      </c>
      <c r="AZ65" s="259" t="s">
        <v>145</v>
      </c>
      <c r="BA65" s="258"/>
      <c r="BB65" s="258" t="s">
        <v>146</v>
      </c>
      <c r="BC65" s="259" t="s">
        <v>145</v>
      </c>
      <c r="BD65" s="258"/>
      <c r="BE65" s="258" t="s">
        <v>146</v>
      </c>
      <c r="BF65" s="259" t="s">
        <v>145</v>
      </c>
      <c r="BG65" s="209">
        <f t="shared" si="18"/>
        <v>0</v>
      </c>
      <c r="BH65" s="258" t="s">
        <v>146</v>
      </c>
      <c r="BI65" s="259" t="s">
        <v>145</v>
      </c>
      <c r="BJ65" s="258"/>
      <c r="BK65" s="258" t="s">
        <v>146</v>
      </c>
      <c r="BL65" s="644">
        <f>BL63+1</f>
        <v>19</v>
      </c>
      <c r="BM65" s="579">
        <f>BM63+1</f>
        <v>19</v>
      </c>
      <c r="BN65" s="578" t="s">
        <v>169</v>
      </c>
      <c r="BO65" s="258" t="s">
        <v>145</v>
      </c>
      <c r="BP65" s="209">
        <f t="shared" si="21"/>
        <v>0</v>
      </c>
      <c r="BQ65" s="258" t="s">
        <v>146</v>
      </c>
      <c r="BR65" s="259" t="s">
        <v>145</v>
      </c>
      <c r="BS65" s="258"/>
      <c r="BT65" s="258" t="s">
        <v>146</v>
      </c>
      <c r="BU65" s="259" t="s">
        <v>145</v>
      </c>
      <c r="BV65" s="258"/>
      <c r="BW65" s="258" t="s">
        <v>146</v>
      </c>
      <c r="BX65" s="259" t="s">
        <v>145</v>
      </c>
      <c r="BY65" s="209">
        <f t="shared" si="19"/>
        <v>0</v>
      </c>
      <c r="BZ65" s="258" t="s">
        <v>146</v>
      </c>
      <c r="CA65" s="259" t="s">
        <v>145</v>
      </c>
      <c r="CB65" s="258"/>
      <c r="CC65" s="258" t="s">
        <v>146</v>
      </c>
      <c r="CD65" s="261" t="s">
        <v>145</v>
      </c>
      <c r="CE65" s="209">
        <f t="shared" si="22"/>
        <v>121.7416</v>
      </c>
      <c r="CF65" s="258" t="s">
        <v>146</v>
      </c>
      <c r="CG65" s="259" t="s">
        <v>145</v>
      </c>
      <c r="CH65" s="258"/>
      <c r="CI65" s="258" t="s">
        <v>146</v>
      </c>
      <c r="CJ65" s="259" t="s">
        <v>145</v>
      </c>
      <c r="CK65" s="315">
        <v>0.0631</v>
      </c>
      <c r="CL65" s="258" t="s">
        <v>146</v>
      </c>
      <c r="CM65" s="259" t="s">
        <v>145</v>
      </c>
      <c r="CN65" s="209">
        <f t="shared" si="26"/>
        <v>0.0631</v>
      </c>
      <c r="CO65" s="258" t="s">
        <v>146</v>
      </c>
      <c r="CP65" s="259" t="s">
        <v>145</v>
      </c>
      <c r="CQ65" s="258">
        <v>121.6785</v>
      </c>
      <c r="CR65" s="262" t="s">
        <v>146</v>
      </c>
      <c r="CS65" s="209"/>
      <c r="CT65" s="261" t="s">
        <v>145</v>
      </c>
      <c r="CU65" s="258">
        <f t="shared" si="23"/>
        <v>0</v>
      </c>
      <c r="CV65" s="258" t="s">
        <v>146</v>
      </c>
      <c r="CW65" s="259" t="s">
        <v>145</v>
      </c>
      <c r="CX65" s="258"/>
      <c r="CY65" s="258" t="s">
        <v>146</v>
      </c>
      <c r="CZ65" s="259" t="s">
        <v>145</v>
      </c>
      <c r="DA65" s="258"/>
      <c r="DB65" s="258" t="s">
        <v>146</v>
      </c>
      <c r="DC65" s="259" t="s">
        <v>145</v>
      </c>
      <c r="DD65" s="209">
        <f t="shared" si="20"/>
        <v>0</v>
      </c>
      <c r="DE65" s="258" t="s">
        <v>146</v>
      </c>
      <c r="DF65" s="259" t="s">
        <v>145</v>
      </c>
      <c r="DG65" s="258"/>
      <c r="DH65" s="262" t="s">
        <v>146</v>
      </c>
      <c r="DI65" s="655">
        <f>DI63+1</f>
        <v>19</v>
      </c>
      <c r="DJ65" s="199"/>
    </row>
    <row r="66" spans="1:114" s="197" customFormat="1" ht="15.75" customHeight="1" thickBot="1">
      <c r="A66" s="614"/>
      <c r="B66" s="615"/>
      <c r="C66" s="217"/>
      <c r="D66" s="217">
        <f t="shared" si="13"/>
        <v>0</v>
      </c>
      <c r="E66" s="217"/>
      <c r="F66" s="432"/>
      <c r="G66" s="280"/>
      <c r="H66" s="280"/>
      <c r="I66" s="432"/>
      <c r="J66" s="280"/>
      <c r="K66" s="280"/>
      <c r="L66" s="432"/>
      <c r="M66" s="217">
        <f t="shared" si="14"/>
        <v>0</v>
      </c>
      <c r="N66" s="280"/>
      <c r="O66" s="218"/>
      <c r="P66" s="217"/>
      <c r="Q66" s="217"/>
      <c r="R66" s="216"/>
      <c r="S66" s="217">
        <f t="shared" si="27"/>
        <v>0.5</v>
      </c>
      <c r="T66" s="217"/>
      <c r="U66" s="218"/>
      <c r="V66" s="217"/>
      <c r="W66" s="217"/>
      <c r="X66" s="218"/>
      <c r="Y66" s="217"/>
      <c r="Z66" s="217"/>
      <c r="AA66" s="218"/>
      <c r="AB66" s="217">
        <f t="shared" si="15"/>
        <v>0</v>
      </c>
      <c r="AC66" s="217"/>
      <c r="AD66" s="218"/>
      <c r="AE66" s="217">
        <v>0.5</v>
      </c>
      <c r="AF66" s="219"/>
      <c r="AG66" s="209"/>
      <c r="AH66" s="216"/>
      <c r="AI66" s="217">
        <f t="shared" si="16"/>
        <v>0</v>
      </c>
      <c r="AJ66" s="217"/>
      <c r="AK66" s="218"/>
      <c r="AL66" s="217"/>
      <c r="AM66" s="217"/>
      <c r="AN66" s="218"/>
      <c r="AO66" s="217"/>
      <c r="AP66" s="217"/>
      <c r="AQ66" s="218"/>
      <c r="AR66" s="217">
        <f t="shared" si="25"/>
        <v>0</v>
      </c>
      <c r="AS66" s="217"/>
      <c r="AT66" s="218"/>
      <c r="AU66" s="217"/>
      <c r="AV66" s="219"/>
      <c r="AW66" s="216"/>
      <c r="AX66" s="217">
        <f t="shared" si="17"/>
        <v>0</v>
      </c>
      <c r="AY66" s="217"/>
      <c r="AZ66" s="218"/>
      <c r="BA66" s="217"/>
      <c r="BB66" s="217"/>
      <c r="BC66" s="218"/>
      <c r="BD66" s="217"/>
      <c r="BE66" s="217"/>
      <c r="BF66" s="218"/>
      <c r="BG66" s="217">
        <f t="shared" si="18"/>
        <v>0</v>
      </c>
      <c r="BH66" s="217"/>
      <c r="BI66" s="218"/>
      <c r="BJ66" s="217"/>
      <c r="BK66" s="217"/>
      <c r="BL66" s="658"/>
      <c r="BM66" s="614"/>
      <c r="BN66" s="615"/>
      <c r="BO66" s="217"/>
      <c r="BP66" s="217">
        <f t="shared" si="21"/>
        <v>0</v>
      </c>
      <c r="BQ66" s="217"/>
      <c r="BR66" s="218"/>
      <c r="BS66" s="217"/>
      <c r="BT66" s="217"/>
      <c r="BU66" s="218"/>
      <c r="BV66" s="217"/>
      <c r="BW66" s="217"/>
      <c r="BX66" s="218"/>
      <c r="BY66" s="217">
        <f t="shared" si="19"/>
        <v>0</v>
      </c>
      <c r="BZ66" s="217"/>
      <c r="CA66" s="218"/>
      <c r="CB66" s="217"/>
      <c r="CC66" s="217"/>
      <c r="CD66" s="216"/>
      <c r="CE66" s="217">
        <f t="shared" si="22"/>
        <v>0</v>
      </c>
      <c r="CF66" s="217"/>
      <c r="CG66" s="218"/>
      <c r="CH66" s="217"/>
      <c r="CI66" s="217"/>
      <c r="CJ66" s="218"/>
      <c r="CK66" s="217"/>
      <c r="CL66" s="217"/>
      <c r="CM66" s="218"/>
      <c r="CN66" s="217">
        <f t="shared" si="26"/>
        <v>0</v>
      </c>
      <c r="CO66" s="217"/>
      <c r="CP66" s="218"/>
      <c r="CQ66" s="217"/>
      <c r="CR66" s="219"/>
      <c r="CS66" s="209"/>
      <c r="CT66" s="216"/>
      <c r="CU66" s="217">
        <f t="shared" si="23"/>
        <v>0</v>
      </c>
      <c r="CV66" s="217"/>
      <c r="CW66" s="218"/>
      <c r="CX66" s="217"/>
      <c r="CY66" s="217"/>
      <c r="CZ66" s="218"/>
      <c r="DA66" s="217"/>
      <c r="DB66" s="217"/>
      <c r="DC66" s="218"/>
      <c r="DD66" s="217">
        <f t="shared" si="20"/>
        <v>0</v>
      </c>
      <c r="DE66" s="217"/>
      <c r="DF66" s="218"/>
      <c r="DG66" s="217"/>
      <c r="DH66" s="219"/>
      <c r="DI66" s="657"/>
      <c r="DJ66" s="199"/>
    </row>
    <row r="67" spans="1:114" ht="13.5" customHeight="1">
      <c r="A67" s="316"/>
      <c r="B67" s="316"/>
      <c r="C67" s="316"/>
      <c r="D67" s="317"/>
      <c r="E67" s="316"/>
      <c r="F67" s="316"/>
      <c r="G67" s="316"/>
      <c r="H67" s="316"/>
      <c r="I67" s="316"/>
      <c r="J67" s="316"/>
      <c r="K67" s="316"/>
      <c r="L67" s="316"/>
      <c r="M67" s="316"/>
      <c r="N67" s="316"/>
      <c r="O67" s="316"/>
      <c r="P67" s="316"/>
      <c r="Q67" s="316"/>
      <c r="R67" s="316"/>
      <c r="S67" s="316"/>
      <c r="T67" s="316"/>
      <c r="U67" s="316"/>
      <c r="V67" s="316"/>
      <c r="W67" s="316"/>
      <c r="X67" s="316"/>
      <c r="Y67" s="316"/>
      <c r="Z67" s="316"/>
      <c r="AA67" s="316"/>
      <c r="AB67" s="316"/>
      <c r="AC67" s="316"/>
      <c r="AD67" s="316"/>
      <c r="AE67" s="316"/>
      <c r="AF67" s="316"/>
      <c r="AH67" s="316"/>
      <c r="AI67" s="316"/>
      <c r="AJ67" s="316"/>
      <c r="AK67" s="316"/>
      <c r="AL67" s="316"/>
      <c r="AM67" s="316"/>
      <c r="AN67" s="316"/>
      <c r="AO67" s="316"/>
      <c r="AP67" s="316"/>
      <c r="AQ67" s="316"/>
      <c r="AR67" s="316"/>
      <c r="AS67" s="316"/>
      <c r="AT67" s="316"/>
      <c r="AU67" s="316"/>
      <c r="AV67" s="316"/>
      <c r="AW67" s="316"/>
      <c r="AX67" s="316"/>
      <c r="AY67" s="316"/>
      <c r="AZ67" s="316"/>
      <c r="BA67" s="316"/>
      <c r="BB67" s="316"/>
      <c r="BC67" s="316"/>
      <c r="BD67" s="316"/>
      <c r="BE67" s="316"/>
      <c r="BF67" s="316"/>
      <c r="BG67" s="316"/>
      <c r="BH67" s="316"/>
      <c r="BI67" s="316"/>
      <c r="BJ67" s="316"/>
      <c r="BK67" s="316"/>
      <c r="BL67" s="316"/>
      <c r="BM67" s="316"/>
      <c r="BN67" s="316"/>
      <c r="BO67" s="316"/>
      <c r="BP67" s="316"/>
      <c r="BQ67" s="316"/>
      <c r="BR67" s="316"/>
      <c r="BS67" s="316"/>
      <c r="BT67" s="316"/>
      <c r="BU67" s="316"/>
      <c r="BV67" s="316"/>
      <c r="BW67" s="316"/>
      <c r="BX67" s="316"/>
      <c r="BY67" s="316"/>
      <c r="BZ67" s="316"/>
      <c r="CA67" s="316"/>
      <c r="CB67" s="316"/>
      <c r="CC67" s="316"/>
      <c r="CD67" s="316"/>
      <c r="CE67" s="317"/>
      <c r="CF67" s="316"/>
      <c r="CG67" s="316"/>
      <c r="CH67" s="316"/>
      <c r="CI67" s="316"/>
      <c r="CJ67" s="316"/>
      <c r="CK67" s="316"/>
      <c r="CL67" s="316"/>
      <c r="CM67" s="316"/>
      <c r="CN67" s="316"/>
      <c r="CO67" s="316"/>
      <c r="CP67" s="316"/>
      <c r="CQ67" s="316"/>
      <c r="CR67" s="316"/>
      <c r="CT67" s="316"/>
      <c r="CU67" s="317"/>
      <c r="CV67" s="316"/>
      <c r="CW67" s="316"/>
      <c r="CX67" s="316"/>
      <c r="CY67" s="316"/>
      <c r="CZ67" s="316"/>
      <c r="DA67" s="316"/>
      <c r="DB67" s="316"/>
      <c r="DC67" s="316"/>
      <c r="DD67" s="316"/>
      <c r="DE67" s="316"/>
      <c r="DF67" s="316"/>
      <c r="DG67" s="316"/>
      <c r="DH67" s="316"/>
      <c r="DI67" s="316"/>
      <c r="DJ67" s="316"/>
    </row>
  </sheetData>
  <sheetProtection/>
  <mergeCells count="202">
    <mergeCell ref="CG8:CI8"/>
    <mergeCell ref="CJ8:CL8"/>
    <mergeCell ref="AW6:BK6"/>
    <mergeCell ref="AZ7:BH7"/>
    <mergeCell ref="AW7:AY8"/>
    <mergeCell ref="BI7:BK8"/>
    <mergeCell ref="AZ8:BB8"/>
    <mergeCell ref="BC8:BE8"/>
    <mergeCell ref="BF8:BH8"/>
    <mergeCell ref="CZ8:DB8"/>
    <mergeCell ref="DC8:DE8"/>
    <mergeCell ref="CT7:CV8"/>
    <mergeCell ref="DF7:DH8"/>
    <mergeCell ref="C6:Q6"/>
    <mergeCell ref="F7:N7"/>
    <mergeCell ref="O7:Q8"/>
    <mergeCell ref="AK7:AS7"/>
    <mergeCell ref="R6:AF6"/>
    <mergeCell ref="U7:AC7"/>
    <mergeCell ref="AH6:AV6"/>
    <mergeCell ref="C7:E8"/>
    <mergeCell ref="L8:N8"/>
    <mergeCell ref="AK8:AM8"/>
    <mergeCell ref="BN63:BN64"/>
    <mergeCell ref="AD7:AF8"/>
    <mergeCell ref="BL57:BL58"/>
    <mergeCell ref="BM55:BM56"/>
    <mergeCell ref="BM57:BM58"/>
    <mergeCell ref="BM47:BN48"/>
    <mergeCell ref="BL35:BL36"/>
    <mergeCell ref="BM29:BN30"/>
    <mergeCell ref="BL33:BL34"/>
    <mergeCell ref="BM33:BM34"/>
    <mergeCell ref="A31:A32"/>
    <mergeCell ref="B31:B32"/>
    <mergeCell ref="A29:B30"/>
    <mergeCell ref="A33:A34"/>
    <mergeCell ref="B33:B34"/>
    <mergeCell ref="A39:A40"/>
    <mergeCell ref="A37:A38"/>
    <mergeCell ref="BM35:BM36"/>
    <mergeCell ref="BN35:BN36"/>
    <mergeCell ref="B35:B36"/>
    <mergeCell ref="DI23:DI24"/>
    <mergeCell ref="DI25:DI26"/>
    <mergeCell ref="DI33:DI34"/>
    <mergeCell ref="A65:A66"/>
    <mergeCell ref="B65:B66"/>
    <mergeCell ref="A63:A64"/>
    <mergeCell ref="B63:B64"/>
    <mergeCell ref="DI35:DI36"/>
    <mergeCell ref="DI37:DI38"/>
    <mergeCell ref="A35:A36"/>
    <mergeCell ref="BN41:BN42"/>
    <mergeCell ref="DI61:DI62"/>
    <mergeCell ref="BN51:BN52"/>
    <mergeCell ref="BN61:BN62"/>
    <mergeCell ref="DI51:DI52"/>
    <mergeCell ref="BN59:BN60"/>
    <mergeCell ref="DI57:DI58"/>
    <mergeCell ref="DI55:DI56"/>
    <mergeCell ref="BN45:BN46"/>
    <mergeCell ref="DI39:DI40"/>
    <mergeCell ref="DI41:DI42"/>
    <mergeCell ref="DI43:DI44"/>
    <mergeCell ref="DI45:DI46"/>
    <mergeCell ref="BN43:BN44"/>
    <mergeCell ref="B43:B44"/>
    <mergeCell ref="BL51:BL52"/>
    <mergeCell ref="BM51:BM52"/>
    <mergeCell ref="B49:B50"/>
    <mergeCell ref="A47:B48"/>
    <mergeCell ref="BN49:BN50"/>
    <mergeCell ref="A43:A44"/>
    <mergeCell ref="A55:A56"/>
    <mergeCell ref="BL55:BL56"/>
    <mergeCell ref="B53:B54"/>
    <mergeCell ref="A53:A54"/>
    <mergeCell ref="B55:B56"/>
    <mergeCell ref="BM59:BM60"/>
    <mergeCell ref="BN57:BN58"/>
    <mergeCell ref="BN55:BN56"/>
    <mergeCell ref="BN53:BN54"/>
    <mergeCell ref="A57:A58"/>
    <mergeCell ref="B57:B58"/>
    <mergeCell ref="A59:A60"/>
    <mergeCell ref="B59:B60"/>
    <mergeCell ref="DI63:DI64"/>
    <mergeCell ref="DI65:DI66"/>
    <mergeCell ref="BL53:BL54"/>
    <mergeCell ref="BM53:BM54"/>
    <mergeCell ref="BL65:BL66"/>
    <mergeCell ref="BM65:BM66"/>
    <mergeCell ref="BN65:BN66"/>
    <mergeCell ref="BL63:BL64"/>
    <mergeCell ref="BM63:BM64"/>
    <mergeCell ref="DI53:DI54"/>
    <mergeCell ref="BL61:BL62"/>
    <mergeCell ref="BM61:BM62"/>
    <mergeCell ref="A45:A46"/>
    <mergeCell ref="B45:B46"/>
    <mergeCell ref="B51:B52"/>
    <mergeCell ref="BL45:BL46"/>
    <mergeCell ref="A51:A52"/>
    <mergeCell ref="A49:A50"/>
    <mergeCell ref="A61:A62"/>
    <mergeCell ref="B61:B62"/>
    <mergeCell ref="A41:A42"/>
    <mergeCell ref="B41:B42"/>
    <mergeCell ref="BM45:BM46"/>
    <mergeCell ref="BM49:BM50"/>
    <mergeCell ref="BL41:BL42"/>
    <mergeCell ref="BM41:BM42"/>
    <mergeCell ref="BL43:BL44"/>
    <mergeCell ref="BM43:BM44"/>
    <mergeCell ref="BL39:BL40"/>
    <mergeCell ref="BM39:BM40"/>
    <mergeCell ref="B39:B40"/>
    <mergeCell ref="BN33:BN34"/>
    <mergeCell ref="BL37:BL38"/>
    <mergeCell ref="BM37:BM38"/>
    <mergeCell ref="B37:B38"/>
    <mergeCell ref="BN37:BN38"/>
    <mergeCell ref="BN39:BN40"/>
    <mergeCell ref="A21:A22"/>
    <mergeCell ref="BN19:BN20"/>
    <mergeCell ref="BL19:BL20"/>
    <mergeCell ref="BM19:BM20"/>
    <mergeCell ref="A19:A20"/>
    <mergeCell ref="B19:B20"/>
    <mergeCell ref="B21:B22"/>
    <mergeCell ref="B27:B28"/>
    <mergeCell ref="BM31:BM32"/>
    <mergeCell ref="BN31:BN32"/>
    <mergeCell ref="BN23:BN24"/>
    <mergeCell ref="BL27:BL28"/>
    <mergeCell ref="BM27:BM28"/>
    <mergeCell ref="B25:B26"/>
    <mergeCell ref="BM15:BN16"/>
    <mergeCell ref="A15:B16"/>
    <mergeCell ref="A17:A18"/>
    <mergeCell ref="B17:B18"/>
    <mergeCell ref="BM17:BM18"/>
    <mergeCell ref="BN17:BN18"/>
    <mergeCell ref="A27:A28"/>
    <mergeCell ref="DI27:DI28"/>
    <mergeCell ref="BN25:BN26"/>
    <mergeCell ref="BL23:BL24"/>
    <mergeCell ref="BM23:BM24"/>
    <mergeCell ref="BM25:BM26"/>
    <mergeCell ref="BN27:BN28"/>
    <mergeCell ref="A25:A26"/>
    <mergeCell ref="A23:A24"/>
    <mergeCell ref="B23:B24"/>
    <mergeCell ref="DI19:DI20"/>
    <mergeCell ref="BN21:BN22"/>
    <mergeCell ref="BL21:BL22"/>
    <mergeCell ref="BM21:BM22"/>
    <mergeCell ref="DI21:DI22"/>
    <mergeCell ref="BM9:BN10"/>
    <mergeCell ref="BM11:BN12"/>
    <mergeCell ref="BM13:BN14"/>
    <mergeCell ref="DI9:DI10"/>
    <mergeCell ref="DI11:DI12"/>
    <mergeCell ref="DM1:DR1"/>
    <mergeCell ref="DI13:DI14"/>
    <mergeCell ref="BO7:BQ8"/>
    <mergeCell ref="CD6:CR6"/>
    <mergeCell ref="CG7:CO7"/>
    <mergeCell ref="CM8:CO8"/>
    <mergeCell ref="BX8:BZ8"/>
    <mergeCell ref="CT6:DH6"/>
    <mergeCell ref="CW7:DE7"/>
    <mergeCell ref="CW8:CY8"/>
    <mergeCell ref="BG1:BL1"/>
    <mergeCell ref="DC1:DH1"/>
    <mergeCell ref="CP7:CR8"/>
    <mergeCell ref="CA7:CC8"/>
    <mergeCell ref="BM6:BN8"/>
    <mergeCell ref="BR8:BT8"/>
    <mergeCell ref="BU8:BW8"/>
    <mergeCell ref="BO6:CC6"/>
    <mergeCell ref="BR7:BZ7"/>
    <mergeCell ref="CD7:CF8"/>
    <mergeCell ref="F8:H8"/>
    <mergeCell ref="I8:K8"/>
    <mergeCell ref="AH7:AJ8"/>
    <mergeCell ref="R7:T8"/>
    <mergeCell ref="A6:B8"/>
    <mergeCell ref="A9:B10"/>
    <mergeCell ref="A11:B12"/>
    <mergeCell ref="A13:B14"/>
    <mergeCell ref="BL9:BL10"/>
    <mergeCell ref="BL11:BL12"/>
    <mergeCell ref="BL13:BL14"/>
    <mergeCell ref="BL25:BL26"/>
    <mergeCell ref="AT7:AV8"/>
    <mergeCell ref="U8:W8"/>
    <mergeCell ref="X8:Z8"/>
    <mergeCell ref="AA8:AC8"/>
    <mergeCell ref="AN8:AP8"/>
    <mergeCell ref="AQ8:AS8"/>
  </mergeCells>
  <printOptions horizontalCentered="1"/>
  <pageMargins left="0.3937007874015748" right="0.3937007874015748" top="0.5905511811023623" bottom="0.3937007874015748" header="0" footer="0"/>
  <pageSetup horizontalDpi="600" verticalDpi="600" orientation="portrait" pageOrder="overThenDown" paperSize="9" scale="70" r:id="rId1"/>
  <colBreaks count="3" manualBreakCount="3">
    <brk id="33" max="75" man="1"/>
    <brk id="64" max="75" man="1"/>
    <brk id="97" max="75" man="1"/>
  </colBreaks>
</worksheet>
</file>

<file path=xl/worksheets/sheet7.xml><?xml version="1.0" encoding="utf-8"?>
<worksheet xmlns="http://schemas.openxmlformats.org/spreadsheetml/2006/main" xmlns:r="http://schemas.openxmlformats.org/officeDocument/2006/relationships">
  <dimension ref="A1:GN60"/>
  <sheetViews>
    <sheetView showZeros="0" tabSelected="1" view="pageBreakPreview" zoomScaleSheetLayoutView="100" zoomScalePageLayoutView="0" workbookViewId="0" topLeftCell="A1">
      <pane xSplit="3" ySplit="10" topLeftCell="D11" activePane="bottomRight" state="frozen"/>
      <selection pane="topLeft" activeCell="P47" sqref="P47"/>
      <selection pane="topRight" activeCell="P47" sqref="P47"/>
      <selection pane="bottomLeft" activeCell="P47" sqref="P47"/>
      <selection pane="bottomRight" activeCell="AM2" sqref="AM2"/>
    </sheetView>
  </sheetViews>
  <sheetFormatPr defaultColWidth="9.00390625" defaultRowHeight="13.5" customHeight="1"/>
  <cols>
    <col min="1" max="1" width="3.625" style="197" customWidth="1"/>
    <col min="2" max="2" width="11.625" style="283" customWidth="1"/>
    <col min="3" max="3" width="2.125" style="293" customWidth="1"/>
    <col min="4" max="4" width="7.625" style="293" customWidth="1"/>
    <col min="5" max="6" width="2.125" style="293" customWidth="1"/>
    <col min="7" max="7" width="7.625" style="293" customWidth="1"/>
    <col min="8" max="9" width="2.125" style="293" customWidth="1"/>
    <col min="10" max="10" width="3.125" style="293" customWidth="1"/>
    <col min="11" max="12" width="2.125" style="293" customWidth="1"/>
    <col min="13" max="13" width="7.625" style="293" customWidth="1"/>
    <col min="14" max="15" width="2.125" style="293" customWidth="1"/>
    <col min="16" max="16" width="7.625" style="293" customWidth="1"/>
    <col min="17" max="18" width="2.00390625" style="293" customWidth="1"/>
    <col min="19" max="19" width="7.625" style="293" customWidth="1"/>
    <col min="20" max="21" width="2.25390625" style="293" customWidth="1"/>
    <col min="22" max="22" width="7.625" style="293" customWidth="1"/>
    <col min="23" max="24" width="2.125" style="293" customWidth="1"/>
    <col min="25" max="25" width="3.125" style="293" customWidth="1"/>
    <col min="26" max="27" width="2.125" style="293" customWidth="1"/>
    <col min="28" max="28" width="7.625" style="293" customWidth="1"/>
    <col min="29" max="30" width="2.125" style="293" customWidth="1"/>
    <col min="31" max="31" width="7.625" style="293" customWidth="1"/>
    <col min="32" max="32" width="2.125" style="293" customWidth="1"/>
    <col min="33" max="34" width="0.875" style="294" customWidth="1"/>
    <col min="35" max="35" width="2.125" style="293" customWidth="1"/>
    <col min="36" max="36" width="8.625" style="293" customWidth="1"/>
    <col min="37" max="38" width="2.125" style="293" customWidth="1"/>
    <col min="39" max="39" width="8.625" style="293" customWidth="1"/>
    <col min="40" max="41" width="2.125" style="293" customWidth="1"/>
    <col min="42" max="42" width="3.125" style="293" customWidth="1"/>
    <col min="43" max="44" width="2.125" style="293" customWidth="1"/>
    <col min="45" max="45" width="8.625" style="293" customWidth="1"/>
    <col min="46" max="47" width="2.125" style="293" customWidth="1"/>
    <col min="48" max="48" width="8.625" style="293" customWidth="1"/>
    <col min="49" max="50" width="2.125" style="293" customWidth="1"/>
    <col min="51" max="51" width="8.625" style="293" customWidth="1"/>
    <col min="52" max="53" width="2.125" style="293" customWidth="1"/>
    <col min="54" max="54" width="8.625" style="293" customWidth="1"/>
    <col min="55" max="56" width="2.125" style="293" customWidth="1"/>
    <col min="57" max="57" width="3.125" style="293" customWidth="1"/>
    <col min="58" max="59" width="2.125" style="293" customWidth="1"/>
    <col min="60" max="60" width="8.625" style="293" customWidth="1"/>
    <col min="61" max="62" width="2.125" style="293" customWidth="1"/>
    <col min="63" max="63" width="8.625" style="293" customWidth="1"/>
    <col min="64" max="64" width="2.125" style="293" customWidth="1"/>
    <col min="65" max="65" width="3.625" style="293" customWidth="1"/>
    <col min="66" max="66" width="3.625" style="197" customWidth="1"/>
    <col min="67" max="67" width="11.625" style="283" customWidth="1"/>
    <col min="68" max="68" width="2.125" style="293" customWidth="1"/>
    <col min="69" max="69" width="7.625" style="293" customWidth="1"/>
    <col min="70" max="71" width="2.125" style="293" customWidth="1"/>
    <col min="72" max="72" width="7.625" style="293" customWidth="1"/>
    <col min="73" max="74" width="2.125" style="293" customWidth="1"/>
    <col min="75" max="75" width="3.125" style="293" customWidth="1"/>
    <col min="76" max="77" width="2.125" style="293" customWidth="1"/>
    <col min="78" max="78" width="7.625" style="293" customWidth="1"/>
    <col min="79" max="80" width="2.125" style="293" customWidth="1"/>
    <col min="81" max="81" width="7.625" style="293" customWidth="1"/>
    <col min="82" max="83" width="2.125" style="293" customWidth="1"/>
    <col min="84" max="84" width="7.625" style="293" customWidth="1"/>
    <col min="85" max="86" width="2.125" style="293" customWidth="1"/>
    <col min="87" max="87" width="7.625" style="293" customWidth="1"/>
    <col min="88" max="89" width="2.125" style="293" customWidth="1"/>
    <col min="90" max="90" width="3.125" style="293" customWidth="1"/>
    <col min="91" max="92" width="2.125" style="293" customWidth="1"/>
    <col min="93" max="93" width="7.625" style="293" customWidth="1"/>
    <col min="94" max="95" width="2.125" style="293" customWidth="1"/>
    <col min="96" max="96" width="7.625" style="293" customWidth="1"/>
    <col min="97" max="97" width="2.125" style="293" customWidth="1"/>
    <col min="98" max="98" width="2.625" style="294" customWidth="1"/>
    <col min="99" max="99" width="2.125" style="293" customWidth="1"/>
    <col min="100" max="100" width="8.625" style="293" customWidth="1"/>
    <col min="101" max="102" width="2.125" style="293" customWidth="1"/>
    <col min="103" max="103" width="8.625" style="293" customWidth="1"/>
    <col min="104" max="105" width="2.125" style="293" customWidth="1"/>
    <col min="106" max="106" width="3.125" style="293" customWidth="1"/>
    <col min="107" max="108" width="2.125" style="293" customWidth="1"/>
    <col min="109" max="109" width="8.625" style="293" customWidth="1"/>
    <col min="110" max="111" width="2.125" style="293" customWidth="1"/>
    <col min="112" max="112" width="8.625" style="293" customWidth="1"/>
    <col min="113" max="113" width="2.125" style="293" customWidth="1"/>
    <col min="114" max="114" width="3.625" style="293" customWidth="1"/>
    <col min="115" max="16384" width="9.00390625" style="293" customWidth="1"/>
  </cols>
  <sheetData>
    <row r="1" spans="1:123" ht="18" customHeight="1">
      <c r="A1" s="467" t="s">
        <v>336</v>
      </c>
      <c r="BH1" s="567" t="s">
        <v>301</v>
      </c>
      <c r="BI1" s="703"/>
      <c r="BJ1" s="703"/>
      <c r="BK1" s="703"/>
      <c r="BL1" s="703"/>
      <c r="BM1" s="703"/>
      <c r="BN1" s="467" t="s">
        <v>337</v>
      </c>
      <c r="DN1" s="567" t="s">
        <v>300</v>
      </c>
      <c r="DO1" s="703"/>
      <c r="DP1" s="703"/>
      <c r="DQ1" s="703"/>
      <c r="DR1" s="703"/>
      <c r="DS1" s="703"/>
    </row>
    <row r="2" ht="45" customHeight="1"/>
    <row r="3" ht="18" customHeight="1"/>
    <row r="4" ht="12" customHeight="1"/>
    <row r="5" spans="1:115" s="197" customFormat="1" ht="13.5" customHeight="1" thickBot="1">
      <c r="A5" s="200"/>
      <c r="B5" s="284"/>
      <c r="C5" s="201"/>
      <c r="D5" s="199"/>
      <c r="E5" s="199"/>
      <c r="F5" s="199"/>
      <c r="G5" s="199"/>
      <c r="H5" s="199"/>
      <c r="I5" s="199"/>
      <c r="J5" s="199"/>
      <c r="K5" s="199"/>
      <c r="L5" s="199"/>
      <c r="M5" s="199"/>
      <c r="N5" s="199"/>
      <c r="O5" s="199"/>
      <c r="P5" s="199"/>
      <c r="Q5" s="199"/>
      <c r="R5" s="199"/>
      <c r="S5" s="199"/>
      <c r="T5" s="199"/>
      <c r="U5" s="199"/>
      <c r="V5" s="199"/>
      <c r="W5" s="199"/>
      <c r="X5" s="199"/>
      <c r="Y5" s="199"/>
      <c r="Z5" s="199"/>
      <c r="AA5" s="199"/>
      <c r="AB5" s="199"/>
      <c r="AC5" s="199"/>
      <c r="AD5" s="199"/>
      <c r="AE5" s="199"/>
      <c r="AF5" s="199"/>
      <c r="AG5" s="198"/>
      <c r="AH5" s="198"/>
      <c r="AI5" s="199"/>
      <c r="AJ5" s="199"/>
      <c r="AK5" s="199"/>
      <c r="AL5" s="199"/>
      <c r="AM5" s="199"/>
      <c r="AN5" s="199"/>
      <c r="AO5" s="199"/>
      <c r="AP5" s="199"/>
      <c r="AQ5" s="199"/>
      <c r="AR5" s="199"/>
      <c r="AS5" s="199"/>
      <c r="AT5" s="199"/>
      <c r="AU5" s="199"/>
      <c r="AV5" s="199"/>
      <c r="AW5" s="199"/>
      <c r="AX5" s="199"/>
      <c r="AY5" s="199"/>
      <c r="AZ5" s="199"/>
      <c r="BA5" s="199"/>
      <c r="BB5" s="199"/>
      <c r="BC5" s="199"/>
      <c r="BD5" s="199"/>
      <c r="BE5" s="199"/>
      <c r="BF5" s="199"/>
      <c r="BG5" s="199"/>
      <c r="BH5" s="199"/>
      <c r="BI5" s="199"/>
      <c r="BJ5" s="199"/>
      <c r="BK5" s="199"/>
      <c r="BL5" s="199"/>
      <c r="BM5" s="201" t="s">
        <v>132</v>
      </c>
      <c r="BN5" s="200"/>
      <c r="BO5" s="284"/>
      <c r="BP5" s="199"/>
      <c r="BQ5" s="199"/>
      <c r="BR5" s="199"/>
      <c r="BS5" s="199"/>
      <c r="BT5" s="199"/>
      <c r="BU5" s="199"/>
      <c r="BV5" s="199"/>
      <c r="BW5" s="199"/>
      <c r="BX5" s="199"/>
      <c r="BY5" s="199"/>
      <c r="BZ5" s="199"/>
      <c r="CA5" s="199"/>
      <c r="CB5" s="199"/>
      <c r="CC5" s="199"/>
      <c r="CD5" s="199"/>
      <c r="CE5" s="199"/>
      <c r="CF5" s="199"/>
      <c r="CG5" s="199"/>
      <c r="CH5" s="199"/>
      <c r="CI5" s="199"/>
      <c r="CJ5" s="199"/>
      <c r="CK5" s="199"/>
      <c r="CL5" s="199"/>
      <c r="CM5" s="199"/>
      <c r="CN5" s="199"/>
      <c r="CO5" s="199"/>
      <c r="CP5" s="199"/>
      <c r="CQ5" s="199"/>
      <c r="CR5" s="199"/>
      <c r="CS5" s="199"/>
      <c r="CT5" s="198"/>
      <c r="CU5" s="199"/>
      <c r="CV5" s="199"/>
      <c r="CW5" s="199"/>
      <c r="CX5" s="199"/>
      <c r="CY5" s="199"/>
      <c r="CZ5" s="199"/>
      <c r="DA5" s="199"/>
      <c r="DB5" s="199"/>
      <c r="DC5" s="199"/>
      <c r="DD5" s="199"/>
      <c r="DE5" s="199"/>
      <c r="DF5" s="199"/>
      <c r="DG5" s="199"/>
      <c r="DH5" s="199"/>
      <c r="DI5" s="199"/>
      <c r="DJ5" s="201" t="s">
        <v>132</v>
      </c>
      <c r="DK5" s="199"/>
    </row>
    <row r="6" spans="1:196" s="204" customFormat="1" ht="15.75" customHeight="1">
      <c r="A6" s="627" t="s">
        <v>133</v>
      </c>
      <c r="B6" s="628"/>
      <c r="C6" s="636" t="s">
        <v>191</v>
      </c>
      <c r="D6" s="637"/>
      <c r="E6" s="637"/>
      <c r="F6" s="587"/>
      <c r="G6" s="587"/>
      <c r="H6" s="587"/>
      <c r="I6" s="587"/>
      <c r="J6" s="587"/>
      <c r="K6" s="587"/>
      <c r="L6" s="587"/>
      <c r="M6" s="587"/>
      <c r="N6" s="587"/>
      <c r="O6" s="587"/>
      <c r="P6" s="587"/>
      <c r="Q6" s="588"/>
      <c r="R6" s="636" t="s">
        <v>192</v>
      </c>
      <c r="S6" s="637"/>
      <c r="T6" s="637"/>
      <c r="U6" s="587"/>
      <c r="V6" s="587"/>
      <c r="W6" s="587"/>
      <c r="X6" s="587"/>
      <c r="Y6" s="587"/>
      <c r="Z6" s="587"/>
      <c r="AA6" s="587"/>
      <c r="AB6" s="587"/>
      <c r="AC6" s="587"/>
      <c r="AD6" s="587"/>
      <c r="AE6" s="587"/>
      <c r="AF6" s="588"/>
      <c r="AG6" s="202"/>
      <c r="AH6" s="202"/>
      <c r="AI6" s="636" t="s">
        <v>193</v>
      </c>
      <c r="AJ6" s="637"/>
      <c r="AK6" s="637"/>
      <c r="AL6" s="587"/>
      <c r="AM6" s="587"/>
      <c r="AN6" s="587"/>
      <c r="AO6" s="587"/>
      <c r="AP6" s="587"/>
      <c r="AQ6" s="587"/>
      <c r="AR6" s="587"/>
      <c r="AS6" s="587"/>
      <c r="AT6" s="587"/>
      <c r="AU6" s="587"/>
      <c r="AV6" s="587"/>
      <c r="AW6" s="588"/>
      <c r="AX6" s="636" t="s">
        <v>194</v>
      </c>
      <c r="AY6" s="637"/>
      <c r="AZ6" s="637"/>
      <c r="BA6" s="587"/>
      <c r="BB6" s="587"/>
      <c r="BC6" s="587"/>
      <c r="BD6" s="587"/>
      <c r="BE6" s="587"/>
      <c r="BF6" s="587"/>
      <c r="BG6" s="587"/>
      <c r="BH6" s="587"/>
      <c r="BI6" s="587"/>
      <c r="BJ6" s="587"/>
      <c r="BK6" s="587"/>
      <c r="BL6" s="588"/>
      <c r="BM6" s="295"/>
      <c r="BN6" s="627" t="s">
        <v>133</v>
      </c>
      <c r="BO6" s="628"/>
      <c r="BP6" s="636" t="s">
        <v>195</v>
      </c>
      <c r="BQ6" s="637"/>
      <c r="BR6" s="637"/>
      <c r="BS6" s="587"/>
      <c r="BT6" s="587"/>
      <c r="BU6" s="587"/>
      <c r="BV6" s="587"/>
      <c r="BW6" s="587"/>
      <c r="BX6" s="587"/>
      <c r="BY6" s="587"/>
      <c r="BZ6" s="587"/>
      <c r="CA6" s="587"/>
      <c r="CB6" s="587"/>
      <c r="CC6" s="587"/>
      <c r="CD6" s="588"/>
      <c r="CE6" s="636" t="s">
        <v>196</v>
      </c>
      <c r="CF6" s="637"/>
      <c r="CG6" s="637"/>
      <c r="CH6" s="587"/>
      <c r="CI6" s="587"/>
      <c r="CJ6" s="587"/>
      <c r="CK6" s="587"/>
      <c r="CL6" s="587"/>
      <c r="CM6" s="587"/>
      <c r="CN6" s="587"/>
      <c r="CO6" s="587"/>
      <c r="CP6" s="587"/>
      <c r="CQ6" s="587"/>
      <c r="CR6" s="587"/>
      <c r="CS6" s="588"/>
      <c r="CT6" s="202"/>
      <c r="CU6" s="636" t="s">
        <v>197</v>
      </c>
      <c r="CV6" s="637"/>
      <c r="CW6" s="637"/>
      <c r="CX6" s="587"/>
      <c r="CY6" s="587"/>
      <c r="CZ6" s="587"/>
      <c r="DA6" s="587"/>
      <c r="DB6" s="587"/>
      <c r="DC6" s="587"/>
      <c r="DD6" s="587"/>
      <c r="DE6" s="587"/>
      <c r="DF6" s="587"/>
      <c r="DG6" s="587"/>
      <c r="DH6" s="587"/>
      <c r="DI6" s="588"/>
      <c r="DJ6" s="295"/>
      <c r="DK6" s="199"/>
      <c r="DL6" s="199"/>
      <c r="DM6" s="199"/>
      <c r="DN6" s="199"/>
      <c r="DO6" s="199"/>
      <c r="DP6" s="199"/>
      <c r="DQ6" s="199"/>
      <c r="DR6" s="199"/>
      <c r="DS6" s="199"/>
      <c r="DT6" s="199"/>
      <c r="DU6" s="199"/>
      <c r="DV6" s="199"/>
      <c r="DW6" s="199"/>
      <c r="DX6" s="199"/>
      <c r="DY6" s="199"/>
      <c r="DZ6" s="199"/>
      <c r="EA6" s="199"/>
      <c r="EB6" s="199"/>
      <c r="EC6" s="199"/>
      <c r="ED6" s="199"/>
      <c r="EE6" s="199"/>
      <c r="EF6" s="199"/>
      <c r="EG6" s="199"/>
      <c r="EH6" s="199"/>
      <c r="EI6" s="199"/>
      <c r="EJ6" s="199"/>
      <c r="EK6" s="199"/>
      <c r="EL6" s="199"/>
      <c r="EM6" s="199"/>
      <c r="EN6" s="199"/>
      <c r="EO6" s="199"/>
      <c r="EP6" s="199"/>
      <c r="EQ6" s="199"/>
      <c r="ER6" s="199"/>
      <c r="ES6" s="199"/>
      <c r="ET6" s="199"/>
      <c r="EU6" s="199"/>
      <c r="EV6" s="199"/>
      <c r="EW6" s="199"/>
      <c r="EX6" s="199"/>
      <c r="EY6" s="199"/>
      <c r="EZ6" s="199"/>
      <c r="FA6" s="199"/>
      <c r="FB6" s="199"/>
      <c r="FC6" s="199"/>
      <c r="FD6" s="199"/>
      <c r="FE6" s="199"/>
      <c r="FF6" s="199"/>
      <c r="FG6" s="199"/>
      <c r="FH6" s="199"/>
      <c r="FI6" s="199"/>
      <c r="FJ6" s="199"/>
      <c r="FK6" s="199"/>
      <c r="FL6" s="199"/>
      <c r="FM6" s="199"/>
      <c r="FN6" s="199"/>
      <c r="FO6" s="199"/>
      <c r="FP6" s="199"/>
      <c r="FQ6" s="199"/>
      <c r="FR6" s="199"/>
      <c r="FS6" s="199"/>
      <c r="FT6" s="199"/>
      <c r="FU6" s="199"/>
      <c r="FV6" s="199"/>
      <c r="FW6" s="199"/>
      <c r="FX6" s="199"/>
      <c r="FY6" s="199"/>
      <c r="FZ6" s="199"/>
      <c r="GA6" s="199"/>
      <c r="GB6" s="199"/>
      <c r="GC6" s="199"/>
      <c r="GD6" s="199"/>
      <c r="GE6" s="199"/>
      <c r="GF6" s="199"/>
      <c r="GG6" s="199"/>
      <c r="GH6" s="199"/>
      <c r="GI6" s="199"/>
      <c r="GJ6" s="199"/>
      <c r="GK6" s="199"/>
      <c r="GL6" s="199"/>
      <c r="GM6" s="199"/>
      <c r="GN6" s="199"/>
    </row>
    <row r="7" spans="1:196" s="204" customFormat="1" ht="15.75" customHeight="1">
      <c r="A7" s="634"/>
      <c r="B7" s="635"/>
      <c r="C7" s="598" t="s">
        <v>138</v>
      </c>
      <c r="D7" s="593"/>
      <c r="E7" s="599"/>
      <c r="F7" s="589" t="s">
        <v>139</v>
      </c>
      <c r="G7" s="590"/>
      <c r="H7" s="590"/>
      <c r="I7" s="590"/>
      <c r="J7" s="590"/>
      <c r="K7" s="590"/>
      <c r="L7" s="590"/>
      <c r="M7" s="590"/>
      <c r="N7" s="591"/>
      <c r="O7" s="592" t="s">
        <v>140</v>
      </c>
      <c r="P7" s="593"/>
      <c r="Q7" s="594"/>
      <c r="R7" s="598" t="s">
        <v>138</v>
      </c>
      <c r="S7" s="593"/>
      <c r="T7" s="599"/>
      <c r="U7" s="589" t="s">
        <v>139</v>
      </c>
      <c r="V7" s="590"/>
      <c r="W7" s="590"/>
      <c r="X7" s="590"/>
      <c r="Y7" s="590"/>
      <c r="Z7" s="590"/>
      <c r="AA7" s="590"/>
      <c r="AB7" s="590"/>
      <c r="AC7" s="591"/>
      <c r="AD7" s="592" t="s">
        <v>140</v>
      </c>
      <c r="AE7" s="593"/>
      <c r="AF7" s="594"/>
      <c r="AG7" s="205"/>
      <c r="AH7" s="205"/>
      <c r="AI7" s="598" t="s">
        <v>138</v>
      </c>
      <c r="AJ7" s="593"/>
      <c r="AK7" s="599"/>
      <c r="AL7" s="589" t="s">
        <v>139</v>
      </c>
      <c r="AM7" s="590"/>
      <c r="AN7" s="590"/>
      <c r="AO7" s="590"/>
      <c r="AP7" s="590"/>
      <c r="AQ7" s="590"/>
      <c r="AR7" s="590"/>
      <c r="AS7" s="590"/>
      <c r="AT7" s="591"/>
      <c r="AU7" s="592" t="s">
        <v>140</v>
      </c>
      <c r="AV7" s="593"/>
      <c r="AW7" s="594"/>
      <c r="AX7" s="598" t="s">
        <v>138</v>
      </c>
      <c r="AY7" s="593"/>
      <c r="AZ7" s="599"/>
      <c r="BA7" s="589" t="s">
        <v>139</v>
      </c>
      <c r="BB7" s="590"/>
      <c r="BC7" s="590"/>
      <c r="BD7" s="590"/>
      <c r="BE7" s="590"/>
      <c r="BF7" s="590"/>
      <c r="BG7" s="590"/>
      <c r="BH7" s="590"/>
      <c r="BI7" s="591"/>
      <c r="BJ7" s="592" t="s">
        <v>140</v>
      </c>
      <c r="BK7" s="593"/>
      <c r="BL7" s="594"/>
      <c r="BM7" s="296"/>
      <c r="BN7" s="634"/>
      <c r="BO7" s="635"/>
      <c r="BP7" s="598" t="s">
        <v>138</v>
      </c>
      <c r="BQ7" s="593"/>
      <c r="BR7" s="599"/>
      <c r="BS7" s="589" t="s">
        <v>139</v>
      </c>
      <c r="BT7" s="590"/>
      <c r="BU7" s="590"/>
      <c r="BV7" s="590"/>
      <c r="BW7" s="590"/>
      <c r="BX7" s="590"/>
      <c r="BY7" s="590"/>
      <c r="BZ7" s="590"/>
      <c r="CA7" s="591"/>
      <c r="CB7" s="592" t="s">
        <v>140</v>
      </c>
      <c r="CC7" s="593"/>
      <c r="CD7" s="594"/>
      <c r="CE7" s="598" t="s">
        <v>138</v>
      </c>
      <c r="CF7" s="593"/>
      <c r="CG7" s="599"/>
      <c r="CH7" s="589" t="s">
        <v>139</v>
      </c>
      <c r="CI7" s="590"/>
      <c r="CJ7" s="590"/>
      <c r="CK7" s="590"/>
      <c r="CL7" s="590"/>
      <c r="CM7" s="590"/>
      <c r="CN7" s="590"/>
      <c r="CO7" s="590"/>
      <c r="CP7" s="591"/>
      <c r="CQ7" s="592" t="s">
        <v>140</v>
      </c>
      <c r="CR7" s="593"/>
      <c r="CS7" s="594"/>
      <c r="CT7" s="205"/>
      <c r="CU7" s="598" t="s">
        <v>138</v>
      </c>
      <c r="CV7" s="593"/>
      <c r="CW7" s="599"/>
      <c r="CX7" s="589" t="s">
        <v>139</v>
      </c>
      <c r="CY7" s="590"/>
      <c r="CZ7" s="590"/>
      <c r="DA7" s="590"/>
      <c r="DB7" s="590"/>
      <c r="DC7" s="590"/>
      <c r="DD7" s="590"/>
      <c r="DE7" s="590"/>
      <c r="DF7" s="591"/>
      <c r="DG7" s="592" t="s">
        <v>140</v>
      </c>
      <c r="DH7" s="593"/>
      <c r="DI7" s="594"/>
      <c r="DJ7" s="296"/>
      <c r="DK7" s="199"/>
      <c r="DL7" s="199"/>
      <c r="DM7" s="199"/>
      <c r="DN7" s="199"/>
      <c r="DO7" s="199"/>
      <c r="DP7" s="199"/>
      <c r="DQ7" s="199"/>
      <c r="DR7" s="199"/>
      <c r="DS7" s="199"/>
      <c r="DT7" s="199"/>
      <c r="DU7" s="199"/>
      <c r="DV7" s="199"/>
      <c r="DW7" s="199"/>
      <c r="DX7" s="199"/>
      <c r="DY7" s="199"/>
      <c r="DZ7" s="199"/>
      <c r="EA7" s="199"/>
      <c r="EB7" s="199"/>
      <c r="EC7" s="199"/>
      <c r="ED7" s="199"/>
      <c r="EE7" s="199"/>
      <c r="EF7" s="199"/>
      <c r="EG7" s="199"/>
      <c r="EH7" s="199"/>
      <c r="EI7" s="199"/>
      <c r="EJ7" s="199"/>
      <c r="EK7" s="199"/>
      <c r="EL7" s="199"/>
      <c r="EM7" s="199"/>
      <c r="EN7" s="199"/>
      <c r="EO7" s="199"/>
      <c r="EP7" s="199"/>
      <c r="EQ7" s="199"/>
      <c r="ER7" s="199"/>
      <c r="ES7" s="199"/>
      <c r="ET7" s="199"/>
      <c r="EU7" s="199"/>
      <c r="EV7" s="199"/>
      <c r="EW7" s="199"/>
      <c r="EX7" s="199"/>
      <c r="EY7" s="199"/>
      <c r="EZ7" s="199"/>
      <c r="FA7" s="199"/>
      <c r="FB7" s="199"/>
      <c r="FC7" s="199"/>
      <c r="FD7" s="199"/>
      <c r="FE7" s="199"/>
      <c r="FF7" s="199"/>
      <c r="FG7" s="199"/>
      <c r="FH7" s="199"/>
      <c r="FI7" s="199"/>
      <c r="FJ7" s="199"/>
      <c r="FK7" s="199"/>
      <c r="FL7" s="199"/>
      <c r="FM7" s="199"/>
      <c r="FN7" s="199"/>
      <c r="FO7" s="199"/>
      <c r="FP7" s="199"/>
      <c r="FQ7" s="199"/>
      <c r="FR7" s="199"/>
      <c r="FS7" s="199"/>
      <c r="FT7" s="199"/>
      <c r="FU7" s="199"/>
      <c r="FV7" s="199"/>
      <c r="FW7" s="199"/>
      <c r="FX7" s="199"/>
      <c r="FY7" s="199"/>
      <c r="FZ7" s="199"/>
      <c r="GA7" s="199"/>
      <c r="GB7" s="199"/>
      <c r="GC7" s="199"/>
      <c r="GD7" s="199"/>
      <c r="GE7" s="199"/>
      <c r="GF7" s="199"/>
      <c r="GG7" s="199"/>
      <c r="GH7" s="199"/>
      <c r="GI7" s="199"/>
      <c r="GJ7" s="199"/>
      <c r="GK7" s="199"/>
      <c r="GL7" s="199"/>
      <c r="GM7" s="199"/>
      <c r="GN7" s="199"/>
    </row>
    <row r="8" spans="1:196" s="204" customFormat="1" ht="15.75" customHeight="1" thickBot="1">
      <c r="A8" s="600"/>
      <c r="B8" s="597"/>
      <c r="C8" s="648"/>
      <c r="D8" s="640"/>
      <c r="E8" s="649"/>
      <c r="F8" s="602" t="s">
        <v>141</v>
      </c>
      <c r="G8" s="603"/>
      <c r="H8" s="604"/>
      <c r="I8" s="602" t="s">
        <v>142</v>
      </c>
      <c r="J8" s="603"/>
      <c r="K8" s="604"/>
      <c r="L8" s="602" t="s">
        <v>143</v>
      </c>
      <c r="M8" s="603"/>
      <c r="N8" s="604"/>
      <c r="O8" s="639"/>
      <c r="P8" s="640"/>
      <c r="Q8" s="641"/>
      <c r="R8" s="648"/>
      <c r="S8" s="640"/>
      <c r="T8" s="649"/>
      <c r="U8" s="602" t="s">
        <v>141</v>
      </c>
      <c r="V8" s="603"/>
      <c r="W8" s="604"/>
      <c r="X8" s="602" t="s">
        <v>142</v>
      </c>
      <c r="Y8" s="603"/>
      <c r="Z8" s="604"/>
      <c r="AA8" s="602" t="s">
        <v>143</v>
      </c>
      <c r="AB8" s="603"/>
      <c r="AC8" s="604"/>
      <c r="AD8" s="639"/>
      <c r="AE8" s="640"/>
      <c r="AF8" s="641"/>
      <c r="AG8" s="297"/>
      <c r="AH8" s="297"/>
      <c r="AI8" s="648"/>
      <c r="AJ8" s="640"/>
      <c r="AK8" s="649"/>
      <c r="AL8" s="602" t="s">
        <v>141</v>
      </c>
      <c r="AM8" s="603"/>
      <c r="AN8" s="604"/>
      <c r="AO8" s="602" t="s">
        <v>142</v>
      </c>
      <c r="AP8" s="603"/>
      <c r="AQ8" s="604"/>
      <c r="AR8" s="602" t="s">
        <v>143</v>
      </c>
      <c r="AS8" s="603"/>
      <c r="AT8" s="604"/>
      <c r="AU8" s="639"/>
      <c r="AV8" s="640"/>
      <c r="AW8" s="641"/>
      <c r="AX8" s="648"/>
      <c r="AY8" s="640"/>
      <c r="AZ8" s="649"/>
      <c r="BA8" s="602" t="s">
        <v>141</v>
      </c>
      <c r="BB8" s="603"/>
      <c r="BC8" s="604"/>
      <c r="BD8" s="602" t="s">
        <v>142</v>
      </c>
      <c r="BE8" s="603"/>
      <c r="BF8" s="604"/>
      <c r="BG8" s="602" t="s">
        <v>143</v>
      </c>
      <c r="BH8" s="603"/>
      <c r="BI8" s="604"/>
      <c r="BJ8" s="639"/>
      <c r="BK8" s="640"/>
      <c r="BL8" s="641"/>
      <c r="BM8" s="298"/>
      <c r="BN8" s="600"/>
      <c r="BO8" s="597"/>
      <c r="BP8" s="648"/>
      <c r="BQ8" s="640"/>
      <c r="BR8" s="649"/>
      <c r="BS8" s="602" t="s">
        <v>141</v>
      </c>
      <c r="BT8" s="603"/>
      <c r="BU8" s="604"/>
      <c r="BV8" s="602" t="s">
        <v>142</v>
      </c>
      <c r="BW8" s="603"/>
      <c r="BX8" s="604"/>
      <c r="BY8" s="602" t="s">
        <v>143</v>
      </c>
      <c r="BZ8" s="603"/>
      <c r="CA8" s="604"/>
      <c r="CB8" s="639"/>
      <c r="CC8" s="640"/>
      <c r="CD8" s="641"/>
      <c r="CE8" s="648"/>
      <c r="CF8" s="640"/>
      <c r="CG8" s="649"/>
      <c r="CH8" s="602" t="s">
        <v>141</v>
      </c>
      <c r="CI8" s="603"/>
      <c r="CJ8" s="604"/>
      <c r="CK8" s="602" t="s">
        <v>142</v>
      </c>
      <c r="CL8" s="603"/>
      <c r="CM8" s="604"/>
      <c r="CN8" s="602" t="s">
        <v>143</v>
      </c>
      <c r="CO8" s="603"/>
      <c r="CP8" s="604"/>
      <c r="CQ8" s="639"/>
      <c r="CR8" s="640"/>
      <c r="CS8" s="641"/>
      <c r="CT8" s="297"/>
      <c r="CU8" s="648"/>
      <c r="CV8" s="640"/>
      <c r="CW8" s="649"/>
      <c r="CX8" s="602" t="s">
        <v>141</v>
      </c>
      <c r="CY8" s="603"/>
      <c r="CZ8" s="604"/>
      <c r="DA8" s="602" t="s">
        <v>142</v>
      </c>
      <c r="DB8" s="603"/>
      <c r="DC8" s="604"/>
      <c r="DD8" s="602" t="s">
        <v>143</v>
      </c>
      <c r="DE8" s="603"/>
      <c r="DF8" s="604"/>
      <c r="DG8" s="639"/>
      <c r="DH8" s="640"/>
      <c r="DI8" s="641"/>
      <c r="DJ8" s="296"/>
      <c r="DK8" s="199"/>
      <c r="DL8" s="199"/>
      <c r="DM8" s="199"/>
      <c r="DN8" s="199"/>
      <c r="DO8" s="199"/>
      <c r="DP8" s="199"/>
      <c r="DQ8" s="199"/>
      <c r="DR8" s="199"/>
      <c r="DS8" s="199"/>
      <c r="DT8" s="199"/>
      <c r="DU8" s="199"/>
      <c r="DV8" s="199"/>
      <c r="DW8" s="199"/>
      <c r="DX8" s="199"/>
      <c r="DY8" s="199"/>
      <c r="DZ8" s="199"/>
      <c r="EA8" s="199"/>
      <c r="EB8" s="199"/>
      <c r="EC8" s="199"/>
      <c r="ED8" s="199"/>
      <c r="EE8" s="199"/>
      <c r="EF8" s="199"/>
      <c r="EG8" s="199"/>
      <c r="EH8" s="199"/>
      <c r="EI8" s="199"/>
      <c r="EJ8" s="199"/>
      <c r="EK8" s="199"/>
      <c r="EL8" s="199"/>
      <c r="EM8" s="199"/>
      <c r="EN8" s="199"/>
      <c r="EO8" s="199"/>
      <c r="EP8" s="199"/>
      <c r="EQ8" s="199"/>
      <c r="ER8" s="199"/>
      <c r="ES8" s="199"/>
      <c r="ET8" s="199"/>
      <c r="EU8" s="199"/>
      <c r="EV8" s="199"/>
      <c r="EW8" s="199"/>
      <c r="EX8" s="199"/>
      <c r="EY8" s="199"/>
      <c r="EZ8" s="199"/>
      <c r="FA8" s="199"/>
      <c r="FB8" s="199"/>
      <c r="FC8" s="199"/>
      <c r="FD8" s="199"/>
      <c r="FE8" s="199"/>
      <c r="FF8" s="199"/>
      <c r="FG8" s="199"/>
      <c r="FH8" s="199"/>
      <c r="FI8" s="199"/>
      <c r="FJ8" s="199"/>
      <c r="FK8" s="199"/>
      <c r="FL8" s="199"/>
      <c r="FM8" s="199"/>
      <c r="FN8" s="199"/>
      <c r="FO8" s="199"/>
      <c r="FP8" s="199"/>
      <c r="FQ8" s="199"/>
      <c r="FR8" s="199"/>
      <c r="FS8" s="199"/>
      <c r="FT8" s="199"/>
      <c r="FU8" s="199"/>
      <c r="FV8" s="199"/>
      <c r="FW8" s="199"/>
      <c r="FX8" s="199"/>
      <c r="FY8" s="199"/>
      <c r="FZ8" s="199"/>
      <c r="GA8" s="199"/>
      <c r="GB8" s="199"/>
      <c r="GC8" s="199"/>
      <c r="GD8" s="199"/>
      <c r="GE8" s="199"/>
      <c r="GF8" s="199"/>
      <c r="GG8" s="199"/>
      <c r="GH8" s="199"/>
      <c r="GI8" s="199"/>
      <c r="GJ8" s="199"/>
      <c r="GK8" s="199"/>
      <c r="GL8" s="199"/>
      <c r="GM8" s="199"/>
      <c r="GN8" s="199"/>
    </row>
    <row r="9" spans="1:115" s="245" customFormat="1" ht="15.75" customHeight="1">
      <c r="A9" s="569"/>
      <c r="B9" s="568" t="s">
        <v>295</v>
      </c>
      <c r="C9" s="271" t="s">
        <v>145</v>
      </c>
      <c r="D9" s="220">
        <f aca="true" t="shared" si="0" ref="D9:D14">M9+P9</f>
        <v>0</v>
      </c>
      <c r="E9" s="230" t="s">
        <v>146</v>
      </c>
      <c r="F9" s="232" t="s">
        <v>145</v>
      </c>
      <c r="G9" s="230">
        <f>G11+G13</f>
        <v>0</v>
      </c>
      <c r="H9" s="231" t="s">
        <v>146</v>
      </c>
      <c r="I9" s="230" t="s">
        <v>145</v>
      </c>
      <c r="J9" s="230">
        <f>J11+J13</f>
        <v>0</v>
      </c>
      <c r="K9" s="230" t="s">
        <v>146</v>
      </c>
      <c r="L9" s="232" t="s">
        <v>145</v>
      </c>
      <c r="M9" s="220">
        <f aca="true" t="shared" si="1" ref="M9:M14">G9+J9</f>
        <v>0</v>
      </c>
      <c r="N9" s="230" t="s">
        <v>146</v>
      </c>
      <c r="O9" s="233" t="s">
        <v>145</v>
      </c>
      <c r="P9" s="230">
        <f>P11+P13</f>
        <v>0</v>
      </c>
      <c r="Q9" s="426" t="s">
        <v>146</v>
      </c>
      <c r="R9" s="229" t="s">
        <v>145</v>
      </c>
      <c r="S9" s="220">
        <f aca="true" t="shared" si="2" ref="S9:S14">AB9+AE9</f>
        <v>0</v>
      </c>
      <c r="T9" s="230" t="s">
        <v>146</v>
      </c>
      <c r="U9" s="232" t="s">
        <v>145</v>
      </c>
      <c r="V9" s="230">
        <f>V11+V13</f>
        <v>0</v>
      </c>
      <c r="W9" s="231" t="s">
        <v>146</v>
      </c>
      <c r="X9" s="230" t="s">
        <v>145</v>
      </c>
      <c r="Y9" s="230">
        <f>Y11+Y13</f>
        <v>0</v>
      </c>
      <c r="Z9" s="230" t="s">
        <v>146</v>
      </c>
      <c r="AA9" s="232" t="s">
        <v>145</v>
      </c>
      <c r="AB9" s="220">
        <f aca="true" t="shared" si="3" ref="AB9:AB14">V9+Y9</f>
        <v>0</v>
      </c>
      <c r="AC9" s="230" t="s">
        <v>146</v>
      </c>
      <c r="AD9" s="233" t="s">
        <v>145</v>
      </c>
      <c r="AE9" s="230">
        <f>AE11+AE13</f>
        <v>0</v>
      </c>
      <c r="AF9" s="234" t="s">
        <v>146</v>
      </c>
      <c r="AG9" s="224"/>
      <c r="AH9" s="224"/>
      <c r="AI9" s="229" t="s">
        <v>145</v>
      </c>
      <c r="AJ9" s="220">
        <f aca="true" t="shared" si="4" ref="AJ9:AJ14">AS9+AV9</f>
        <v>0</v>
      </c>
      <c r="AK9" s="230" t="s">
        <v>146</v>
      </c>
      <c r="AL9" s="232" t="s">
        <v>145</v>
      </c>
      <c r="AM9" s="230">
        <f>AM11+AM13</f>
        <v>0</v>
      </c>
      <c r="AN9" s="231" t="s">
        <v>146</v>
      </c>
      <c r="AO9" s="230" t="s">
        <v>145</v>
      </c>
      <c r="AP9" s="230">
        <f>AP11+AP13</f>
        <v>0</v>
      </c>
      <c r="AQ9" s="230" t="s">
        <v>146</v>
      </c>
      <c r="AR9" s="232" t="s">
        <v>145</v>
      </c>
      <c r="AS9" s="220">
        <f aca="true" t="shared" si="5" ref="AS9:AS14">AM9+AP9</f>
        <v>0</v>
      </c>
      <c r="AT9" s="230" t="s">
        <v>146</v>
      </c>
      <c r="AU9" s="233" t="s">
        <v>145</v>
      </c>
      <c r="AV9" s="230">
        <f>AV11+AV13</f>
        <v>0</v>
      </c>
      <c r="AW9" s="234" t="s">
        <v>146</v>
      </c>
      <c r="AX9" s="229" t="s">
        <v>145</v>
      </c>
      <c r="AY9" s="220">
        <f aca="true" t="shared" si="6" ref="AY9:AY14">BH9+BK9</f>
        <v>0</v>
      </c>
      <c r="AZ9" s="230" t="s">
        <v>146</v>
      </c>
      <c r="BA9" s="232" t="s">
        <v>145</v>
      </c>
      <c r="BB9" s="230">
        <f>BB11+BB13</f>
        <v>0</v>
      </c>
      <c r="BC9" s="231" t="s">
        <v>146</v>
      </c>
      <c r="BD9" s="230" t="s">
        <v>145</v>
      </c>
      <c r="BE9" s="230">
        <f>BE11+BE13</f>
        <v>0</v>
      </c>
      <c r="BF9" s="230" t="s">
        <v>146</v>
      </c>
      <c r="BG9" s="232" t="s">
        <v>145</v>
      </c>
      <c r="BH9" s="220">
        <f aca="true" t="shared" si="7" ref="BH9:BH14">BB9+BE9</f>
        <v>0</v>
      </c>
      <c r="BI9" s="230" t="s">
        <v>146</v>
      </c>
      <c r="BJ9" s="233" t="s">
        <v>145</v>
      </c>
      <c r="BK9" s="230">
        <f>BK11+BK13</f>
        <v>0</v>
      </c>
      <c r="BL9" s="426" t="s">
        <v>146</v>
      </c>
      <c r="BM9" s="300"/>
      <c r="BN9" s="569"/>
      <c r="BO9" s="568" t="s">
        <v>295</v>
      </c>
      <c r="BP9" s="271" t="s">
        <v>145</v>
      </c>
      <c r="BQ9" s="220">
        <f aca="true" t="shared" si="8" ref="BQ9:BQ30">BZ9+CC9</f>
        <v>0</v>
      </c>
      <c r="BR9" s="230" t="s">
        <v>146</v>
      </c>
      <c r="BS9" s="232" t="s">
        <v>145</v>
      </c>
      <c r="BT9" s="230">
        <f>BT11+BT13</f>
        <v>0</v>
      </c>
      <c r="BU9" s="231" t="s">
        <v>146</v>
      </c>
      <c r="BV9" s="230" t="s">
        <v>145</v>
      </c>
      <c r="BW9" s="230">
        <f>BW11+BW13</f>
        <v>0</v>
      </c>
      <c r="BX9" s="230" t="s">
        <v>146</v>
      </c>
      <c r="BY9" s="232" t="s">
        <v>145</v>
      </c>
      <c r="BZ9" s="220">
        <f aca="true" t="shared" si="9" ref="BZ9:BZ40">BT9+BW9</f>
        <v>0</v>
      </c>
      <c r="CA9" s="230" t="s">
        <v>146</v>
      </c>
      <c r="CB9" s="233" t="s">
        <v>145</v>
      </c>
      <c r="CC9" s="230">
        <f>CC11+CC13</f>
        <v>0</v>
      </c>
      <c r="CD9" s="426" t="s">
        <v>146</v>
      </c>
      <c r="CE9" s="229" t="s">
        <v>145</v>
      </c>
      <c r="CF9" s="220">
        <f aca="true" t="shared" si="10" ref="CF9:CF30">CO9+CR9</f>
        <v>1283.7286</v>
      </c>
      <c r="CG9" s="230" t="s">
        <v>146</v>
      </c>
      <c r="CH9" s="232" t="s">
        <v>145</v>
      </c>
      <c r="CI9" s="230">
        <f>CI11+CI13</f>
        <v>132.23</v>
      </c>
      <c r="CJ9" s="231" t="s">
        <v>146</v>
      </c>
      <c r="CK9" s="230" t="s">
        <v>145</v>
      </c>
      <c r="CL9" s="230">
        <f>CL11+CL13</f>
        <v>0</v>
      </c>
      <c r="CM9" s="230" t="s">
        <v>146</v>
      </c>
      <c r="CN9" s="232" t="s">
        <v>145</v>
      </c>
      <c r="CO9" s="220">
        <f aca="true" t="shared" si="11" ref="CO9:CO30">CI9+CL9</f>
        <v>132.23</v>
      </c>
      <c r="CP9" s="230" t="s">
        <v>146</v>
      </c>
      <c r="CQ9" s="233" t="s">
        <v>145</v>
      </c>
      <c r="CR9" s="230">
        <f>CR11+CR13</f>
        <v>1151.4986</v>
      </c>
      <c r="CS9" s="234" t="s">
        <v>146</v>
      </c>
      <c r="CT9" s="224"/>
      <c r="CU9" s="229" t="s">
        <v>145</v>
      </c>
      <c r="CV9" s="220">
        <f aca="true" t="shared" si="12" ref="CV9:CV30">DE9+DH9</f>
        <v>0</v>
      </c>
      <c r="CW9" s="230" t="s">
        <v>146</v>
      </c>
      <c r="CX9" s="232" t="s">
        <v>145</v>
      </c>
      <c r="CY9" s="230">
        <f>CY11+CY13</f>
        <v>0</v>
      </c>
      <c r="CZ9" s="231" t="s">
        <v>146</v>
      </c>
      <c r="DA9" s="230" t="s">
        <v>145</v>
      </c>
      <c r="DB9" s="230">
        <f>DB11+DB13</f>
        <v>0</v>
      </c>
      <c r="DC9" s="230" t="s">
        <v>146</v>
      </c>
      <c r="DD9" s="232" t="s">
        <v>145</v>
      </c>
      <c r="DE9" s="220">
        <f aca="true" t="shared" si="13" ref="DE9:DE30">CY9+DB9</f>
        <v>0</v>
      </c>
      <c r="DF9" s="230" t="s">
        <v>146</v>
      </c>
      <c r="DG9" s="233" t="s">
        <v>145</v>
      </c>
      <c r="DH9" s="230">
        <f>DH11+DH13</f>
        <v>0</v>
      </c>
      <c r="DI9" s="426" t="s">
        <v>146</v>
      </c>
      <c r="DJ9" s="300"/>
      <c r="DK9" s="228"/>
    </row>
    <row r="10" spans="1:115" s="245" customFormat="1" ht="15.75" customHeight="1" thickBot="1">
      <c r="A10" s="651"/>
      <c r="B10" s="707"/>
      <c r="C10" s="236"/>
      <c r="D10" s="237">
        <f t="shared" si="0"/>
        <v>11.0798</v>
      </c>
      <c r="E10" s="237"/>
      <c r="F10" s="238"/>
      <c r="G10" s="237">
        <f>G12+G14</f>
        <v>0</v>
      </c>
      <c r="H10" s="239"/>
      <c r="I10" s="237"/>
      <c r="J10" s="248">
        <f>J12+J14</f>
        <v>0.2727</v>
      </c>
      <c r="K10" s="237"/>
      <c r="L10" s="238"/>
      <c r="M10" s="237">
        <f t="shared" si="1"/>
        <v>0.2727</v>
      </c>
      <c r="N10" s="237"/>
      <c r="O10" s="240"/>
      <c r="P10" s="237">
        <f>P12+P14</f>
        <v>10.8071</v>
      </c>
      <c r="Q10" s="241"/>
      <c r="R10" s="246"/>
      <c r="S10" s="237">
        <f t="shared" si="2"/>
        <v>7.543130000000001</v>
      </c>
      <c r="T10" s="237"/>
      <c r="U10" s="238"/>
      <c r="V10" s="237">
        <f>V12+V14</f>
        <v>0</v>
      </c>
      <c r="W10" s="239"/>
      <c r="X10" s="237"/>
      <c r="Y10" s="248">
        <f>Y12+Y14</f>
        <v>0.39573</v>
      </c>
      <c r="Z10" s="237"/>
      <c r="AA10" s="238"/>
      <c r="AB10" s="237">
        <f t="shared" si="3"/>
        <v>0.39573</v>
      </c>
      <c r="AC10" s="237"/>
      <c r="AD10" s="240"/>
      <c r="AE10" s="237">
        <f>AE12+AE14</f>
        <v>7.1474</v>
      </c>
      <c r="AF10" s="247"/>
      <c r="AG10" s="224"/>
      <c r="AH10" s="224"/>
      <c r="AI10" s="246"/>
      <c r="AJ10" s="237">
        <f t="shared" si="4"/>
        <v>157.1767</v>
      </c>
      <c r="AK10" s="237"/>
      <c r="AL10" s="238"/>
      <c r="AM10" s="237">
        <f>AM12+AM14</f>
        <v>15.57</v>
      </c>
      <c r="AN10" s="239"/>
      <c r="AO10" s="237"/>
      <c r="AP10" s="237">
        <f>AP12+AP14</f>
        <v>0</v>
      </c>
      <c r="AQ10" s="237"/>
      <c r="AR10" s="238"/>
      <c r="AS10" s="237">
        <f t="shared" si="5"/>
        <v>15.57</v>
      </c>
      <c r="AT10" s="237"/>
      <c r="AU10" s="240"/>
      <c r="AV10" s="237">
        <f>AV12+AV14</f>
        <v>141.60670000000002</v>
      </c>
      <c r="AW10" s="247"/>
      <c r="AX10" s="246"/>
      <c r="AY10" s="237">
        <f t="shared" si="6"/>
        <v>0</v>
      </c>
      <c r="AZ10" s="237"/>
      <c r="BA10" s="238"/>
      <c r="BB10" s="237">
        <f>BB12+BB14</f>
        <v>0</v>
      </c>
      <c r="BC10" s="239"/>
      <c r="BD10" s="237"/>
      <c r="BE10" s="237">
        <f>BE12+BE14</f>
        <v>0</v>
      </c>
      <c r="BF10" s="237"/>
      <c r="BG10" s="238"/>
      <c r="BH10" s="237">
        <f t="shared" si="7"/>
        <v>0</v>
      </c>
      <c r="BI10" s="237"/>
      <c r="BJ10" s="240"/>
      <c r="BK10" s="237">
        <f>BK12+BK14</f>
        <v>0</v>
      </c>
      <c r="BL10" s="241"/>
      <c r="BM10" s="304"/>
      <c r="BN10" s="651"/>
      <c r="BO10" s="707"/>
      <c r="BP10" s="236"/>
      <c r="BQ10" s="237">
        <f t="shared" si="8"/>
        <v>3.7408</v>
      </c>
      <c r="BR10" s="237"/>
      <c r="BS10" s="238"/>
      <c r="BT10" s="237">
        <f>BT12+BT14</f>
        <v>0</v>
      </c>
      <c r="BU10" s="239"/>
      <c r="BV10" s="237"/>
      <c r="BW10" s="237">
        <f>BW12+BW14</f>
        <v>0</v>
      </c>
      <c r="BX10" s="237"/>
      <c r="BY10" s="238"/>
      <c r="BZ10" s="237">
        <f t="shared" si="9"/>
        <v>0</v>
      </c>
      <c r="CA10" s="237"/>
      <c r="CB10" s="240"/>
      <c r="CC10" s="237">
        <f>CC12+CC14</f>
        <v>3.7408</v>
      </c>
      <c r="CD10" s="241"/>
      <c r="CE10" s="246"/>
      <c r="CF10" s="237">
        <f t="shared" si="10"/>
        <v>14.357600000000001</v>
      </c>
      <c r="CG10" s="237"/>
      <c r="CH10" s="238"/>
      <c r="CI10" s="237">
        <f>CI12+CI14</f>
        <v>10.8</v>
      </c>
      <c r="CJ10" s="239"/>
      <c r="CK10" s="237"/>
      <c r="CL10" s="237">
        <f>CL12+CL14</f>
        <v>0</v>
      </c>
      <c r="CM10" s="237"/>
      <c r="CN10" s="238"/>
      <c r="CO10" s="237">
        <f t="shared" si="11"/>
        <v>10.8</v>
      </c>
      <c r="CP10" s="237"/>
      <c r="CQ10" s="240"/>
      <c r="CR10" s="237">
        <f>CR12+CR14</f>
        <v>3.5576</v>
      </c>
      <c r="CS10" s="247"/>
      <c r="CT10" s="224"/>
      <c r="CU10" s="246"/>
      <c r="CV10" s="237">
        <f t="shared" si="12"/>
        <v>0</v>
      </c>
      <c r="CW10" s="237"/>
      <c r="CX10" s="238"/>
      <c r="CY10" s="237">
        <f>CY12+CY14</f>
        <v>0</v>
      </c>
      <c r="CZ10" s="239"/>
      <c r="DA10" s="237"/>
      <c r="DB10" s="237">
        <f>DB12+DB14</f>
        <v>0</v>
      </c>
      <c r="DC10" s="237"/>
      <c r="DD10" s="238"/>
      <c r="DE10" s="237">
        <f t="shared" si="13"/>
        <v>0</v>
      </c>
      <c r="DF10" s="237"/>
      <c r="DG10" s="240"/>
      <c r="DH10" s="237">
        <f>DH12+DH14</f>
        <v>0</v>
      </c>
      <c r="DI10" s="241"/>
      <c r="DJ10" s="304"/>
      <c r="DK10" s="228"/>
    </row>
    <row r="11" spans="1:115" s="197" customFormat="1" ht="15.75" customHeight="1">
      <c r="A11" s="612">
        <v>20</v>
      </c>
      <c r="B11" s="613" t="s">
        <v>171</v>
      </c>
      <c r="C11" s="209" t="s">
        <v>145</v>
      </c>
      <c r="D11" s="209">
        <f t="shared" si="0"/>
        <v>0</v>
      </c>
      <c r="E11" s="209" t="s">
        <v>146</v>
      </c>
      <c r="F11" s="427" t="s">
        <v>145</v>
      </c>
      <c r="G11" s="252"/>
      <c r="H11" s="252" t="s">
        <v>146</v>
      </c>
      <c r="I11" s="427" t="s">
        <v>145</v>
      </c>
      <c r="J11" s="252"/>
      <c r="K11" s="252" t="s">
        <v>146</v>
      </c>
      <c r="L11" s="427" t="s">
        <v>145</v>
      </c>
      <c r="M11" s="209">
        <f t="shared" si="1"/>
        <v>0</v>
      </c>
      <c r="N11" s="252" t="s">
        <v>146</v>
      </c>
      <c r="O11" s="212" t="s">
        <v>145</v>
      </c>
      <c r="P11" s="209"/>
      <c r="Q11" s="209" t="s">
        <v>146</v>
      </c>
      <c r="R11" s="208" t="s">
        <v>145</v>
      </c>
      <c r="S11" s="209">
        <f t="shared" si="2"/>
        <v>0</v>
      </c>
      <c r="T11" s="209" t="s">
        <v>146</v>
      </c>
      <c r="U11" s="212" t="s">
        <v>145</v>
      </c>
      <c r="V11" s="209"/>
      <c r="W11" s="209" t="s">
        <v>146</v>
      </c>
      <c r="X11" s="212" t="s">
        <v>145</v>
      </c>
      <c r="Y11" s="209"/>
      <c r="Z11" s="209" t="s">
        <v>146</v>
      </c>
      <c r="AA11" s="212" t="s">
        <v>145</v>
      </c>
      <c r="AB11" s="209">
        <f t="shared" si="3"/>
        <v>0</v>
      </c>
      <c r="AC11" s="209" t="s">
        <v>146</v>
      </c>
      <c r="AD11" s="212" t="s">
        <v>145</v>
      </c>
      <c r="AE11" s="209"/>
      <c r="AF11" s="211" t="s">
        <v>146</v>
      </c>
      <c r="AG11" s="209"/>
      <c r="AH11" s="209"/>
      <c r="AI11" s="213" t="s">
        <v>145</v>
      </c>
      <c r="AJ11" s="214">
        <f t="shared" si="4"/>
        <v>0</v>
      </c>
      <c r="AK11" s="214" t="s">
        <v>146</v>
      </c>
      <c r="AL11" s="210" t="s">
        <v>145</v>
      </c>
      <c r="AM11" s="214"/>
      <c r="AN11" s="214" t="s">
        <v>146</v>
      </c>
      <c r="AO11" s="210" t="s">
        <v>145</v>
      </c>
      <c r="AP11" s="214"/>
      <c r="AQ11" s="214" t="s">
        <v>146</v>
      </c>
      <c r="AR11" s="210" t="s">
        <v>145</v>
      </c>
      <c r="AS11" s="214">
        <f t="shared" si="5"/>
        <v>0</v>
      </c>
      <c r="AT11" s="214" t="s">
        <v>146</v>
      </c>
      <c r="AU11" s="210" t="s">
        <v>145</v>
      </c>
      <c r="AV11" s="214"/>
      <c r="AW11" s="215" t="s">
        <v>146</v>
      </c>
      <c r="AX11" s="213" t="s">
        <v>145</v>
      </c>
      <c r="AY11" s="214">
        <f t="shared" si="6"/>
        <v>0</v>
      </c>
      <c r="AZ11" s="214" t="s">
        <v>146</v>
      </c>
      <c r="BA11" s="210" t="s">
        <v>145</v>
      </c>
      <c r="BB11" s="214"/>
      <c r="BC11" s="214" t="s">
        <v>146</v>
      </c>
      <c r="BD11" s="210" t="s">
        <v>145</v>
      </c>
      <c r="BE11" s="214"/>
      <c r="BF11" s="214" t="s">
        <v>146</v>
      </c>
      <c r="BG11" s="210" t="s">
        <v>145</v>
      </c>
      <c r="BH11" s="214">
        <f t="shared" si="7"/>
        <v>0</v>
      </c>
      <c r="BI11" s="214" t="s">
        <v>146</v>
      </c>
      <c r="BJ11" s="210" t="s">
        <v>145</v>
      </c>
      <c r="BK11" s="214"/>
      <c r="BL11" s="214" t="s">
        <v>146</v>
      </c>
      <c r="BM11" s="659">
        <v>20</v>
      </c>
      <c r="BN11" s="612">
        <v>18</v>
      </c>
      <c r="BO11" s="613" t="s">
        <v>171</v>
      </c>
      <c r="BP11" s="214" t="s">
        <v>145</v>
      </c>
      <c r="BQ11" s="214">
        <f t="shared" si="8"/>
        <v>0</v>
      </c>
      <c r="BR11" s="214" t="s">
        <v>146</v>
      </c>
      <c r="BS11" s="210" t="s">
        <v>145</v>
      </c>
      <c r="BT11" s="214"/>
      <c r="BU11" s="214" t="s">
        <v>146</v>
      </c>
      <c r="BV11" s="210" t="s">
        <v>145</v>
      </c>
      <c r="BW11" s="214"/>
      <c r="BX11" s="214" t="s">
        <v>146</v>
      </c>
      <c r="BY11" s="210" t="s">
        <v>145</v>
      </c>
      <c r="BZ11" s="214">
        <f t="shared" si="9"/>
        <v>0</v>
      </c>
      <c r="CA11" s="214" t="s">
        <v>146</v>
      </c>
      <c r="CB11" s="210" t="s">
        <v>145</v>
      </c>
      <c r="CC11" s="214"/>
      <c r="CD11" s="214" t="s">
        <v>146</v>
      </c>
      <c r="CE11" s="213" t="s">
        <v>145</v>
      </c>
      <c r="CF11" s="214">
        <f t="shared" si="10"/>
        <v>262.69129999999996</v>
      </c>
      <c r="CG11" s="214" t="s">
        <v>146</v>
      </c>
      <c r="CH11" s="210" t="s">
        <v>145</v>
      </c>
      <c r="CI11" s="214">
        <v>132.23</v>
      </c>
      <c r="CJ11" s="214" t="s">
        <v>146</v>
      </c>
      <c r="CK11" s="210" t="s">
        <v>145</v>
      </c>
      <c r="CL11" s="214"/>
      <c r="CM11" s="214" t="s">
        <v>146</v>
      </c>
      <c r="CN11" s="210" t="s">
        <v>145</v>
      </c>
      <c r="CO11" s="214">
        <f t="shared" si="11"/>
        <v>132.23</v>
      </c>
      <c r="CP11" s="214" t="s">
        <v>146</v>
      </c>
      <c r="CQ11" s="210" t="s">
        <v>145</v>
      </c>
      <c r="CR11" s="214">
        <v>130.4613</v>
      </c>
      <c r="CS11" s="215" t="s">
        <v>146</v>
      </c>
      <c r="CT11" s="209"/>
      <c r="CU11" s="208" t="s">
        <v>145</v>
      </c>
      <c r="CV11" s="209">
        <f t="shared" si="12"/>
        <v>0</v>
      </c>
      <c r="CW11" s="209" t="s">
        <v>146</v>
      </c>
      <c r="CX11" s="212" t="s">
        <v>145</v>
      </c>
      <c r="CY11" s="209"/>
      <c r="CZ11" s="209" t="s">
        <v>146</v>
      </c>
      <c r="DA11" s="212" t="s">
        <v>145</v>
      </c>
      <c r="DB11" s="209"/>
      <c r="DC11" s="209" t="s">
        <v>146</v>
      </c>
      <c r="DD11" s="212" t="s">
        <v>145</v>
      </c>
      <c r="DE11" s="209">
        <f t="shared" si="13"/>
        <v>0</v>
      </c>
      <c r="DF11" s="209" t="s">
        <v>146</v>
      </c>
      <c r="DG11" s="212" t="s">
        <v>145</v>
      </c>
      <c r="DH11" s="209"/>
      <c r="DI11" s="211" t="s">
        <v>146</v>
      </c>
      <c r="DJ11" s="650">
        <v>20</v>
      </c>
      <c r="DK11" s="199"/>
    </row>
    <row r="12" spans="1:115" s="197" customFormat="1" ht="15.75" customHeight="1">
      <c r="A12" s="580"/>
      <c r="B12" s="611"/>
      <c r="C12" s="264"/>
      <c r="D12" s="254">
        <f t="shared" si="0"/>
        <v>10.6102</v>
      </c>
      <c r="E12" s="254"/>
      <c r="F12" s="431"/>
      <c r="G12" s="263"/>
      <c r="H12" s="263"/>
      <c r="I12" s="431"/>
      <c r="J12" s="318">
        <f>0.2727</f>
        <v>0.2727</v>
      </c>
      <c r="K12" s="263"/>
      <c r="L12" s="431"/>
      <c r="M12" s="254">
        <f t="shared" si="1"/>
        <v>0.2727</v>
      </c>
      <c r="N12" s="263"/>
      <c r="O12" s="255"/>
      <c r="P12" s="254">
        <v>10.3375</v>
      </c>
      <c r="Q12" s="254"/>
      <c r="R12" s="264"/>
      <c r="S12" s="254">
        <f t="shared" si="2"/>
        <v>5.779730000000001</v>
      </c>
      <c r="T12" s="254"/>
      <c r="U12" s="255"/>
      <c r="V12" s="254"/>
      <c r="W12" s="254"/>
      <c r="X12" s="255"/>
      <c r="Y12" s="266">
        <f>0.39573</f>
        <v>0.39573</v>
      </c>
      <c r="Z12" s="254"/>
      <c r="AA12" s="255"/>
      <c r="AB12" s="254">
        <f t="shared" si="3"/>
        <v>0.39573</v>
      </c>
      <c r="AC12" s="254"/>
      <c r="AD12" s="255"/>
      <c r="AE12" s="254">
        <v>5.384</v>
      </c>
      <c r="AF12" s="265"/>
      <c r="AG12" s="209"/>
      <c r="AH12" s="209"/>
      <c r="AI12" s="264"/>
      <c r="AJ12" s="254">
        <f t="shared" si="4"/>
        <v>141.5952</v>
      </c>
      <c r="AK12" s="254"/>
      <c r="AL12" s="255"/>
      <c r="AM12" s="254"/>
      <c r="AN12" s="254"/>
      <c r="AO12" s="255"/>
      <c r="AP12" s="254"/>
      <c r="AQ12" s="254"/>
      <c r="AR12" s="255"/>
      <c r="AS12" s="254">
        <f t="shared" si="5"/>
        <v>0</v>
      </c>
      <c r="AT12" s="254"/>
      <c r="AU12" s="255"/>
      <c r="AV12" s="710">
        <v>141.5952</v>
      </c>
      <c r="AW12" s="265"/>
      <c r="AX12" s="264"/>
      <c r="AY12" s="254">
        <f t="shared" si="6"/>
        <v>0</v>
      </c>
      <c r="AZ12" s="254"/>
      <c r="BA12" s="255"/>
      <c r="BB12" s="254"/>
      <c r="BC12" s="254"/>
      <c r="BD12" s="255"/>
      <c r="BE12" s="254"/>
      <c r="BF12" s="254"/>
      <c r="BG12" s="255"/>
      <c r="BH12" s="254">
        <f t="shared" si="7"/>
        <v>0</v>
      </c>
      <c r="BI12" s="254"/>
      <c r="BJ12" s="255"/>
      <c r="BK12" s="254"/>
      <c r="BL12" s="254"/>
      <c r="BM12" s="645"/>
      <c r="BN12" s="580"/>
      <c r="BO12" s="611"/>
      <c r="BP12" s="254"/>
      <c r="BQ12" s="254">
        <f t="shared" si="8"/>
        <v>3.7408</v>
      </c>
      <c r="BR12" s="254"/>
      <c r="BS12" s="255"/>
      <c r="BT12" s="254"/>
      <c r="BU12" s="254"/>
      <c r="BV12" s="255"/>
      <c r="BW12" s="254"/>
      <c r="BX12" s="254"/>
      <c r="BY12" s="255"/>
      <c r="BZ12" s="254">
        <f t="shared" si="9"/>
        <v>0</v>
      </c>
      <c r="CA12" s="254"/>
      <c r="CB12" s="255"/>
      <c r="CC12" s="254">
        <v>3.7408</v>
      </c>
      <c r="CD12" s="254"/>
      <c r="CE12" s="264"/>
      <c r="CF12" s="254">
        <f t="shared" si="10"/>
        <v>10.8</v>
      </c>
      <c r="CG12" s="254"/>
      <c r="CH12" s="255"/>
      <c r="CI12" s="254">
        <v>10.8</v>
      </c>
      <c r="CJ12" s="254"/>
      <c r="CK12" s="255"/>
      <c r="CL12" s="254"/>
      <c r="CM12" s="254"/>
      <c r="CN12" s="255"/>
      <c r="CO12" s="254">
        <f t="shared" si="11"/>
        <v>10.8</v>
      </c>
      <c r="CP12" s="254"/>
      <c r="CQ12" s="255"/>
      <c r="CR12" s="254"/>
      <c r="CS12" s="265"/>
      <c r="CT12" s="209"/>
      <c r="CU12" s="264"/>
      <c r="CV12" s="254">
        <f t="shared" si="12"/>
        <v>0</v>
      </c>
      <c r="CW12" s="254"/>
      <c r="CX12" s="255"/>
      <c r="CY12" s="254"/>
      <c r="CZ12" s="254"/>
      <c r="DA12" s="255"/>
      <c r="DB12" s="254"/>
      <c r="DC12" s="254"/>
      <c r="DD12" s="255"/>
      <c r="DE12" s="254">
        <f t="shared" si="13"/>
        <v>0</v>
      </c>
      <c r="DF12" s="254"/>
      <c r="DG12" s="255"/>
      <c r="DH12" s="254"/>
      <c r="DI12" s="265"/>
      <c r="DJ12" s="650"/>
      <c r="DK12" s="199"/>
    </row>
    <row r="13" spans="1:115" s="197" customFormat="1" ht="15.75" customHeight="1">
      <c r="A13" s="579">
        <v>21</v>
      </c>
      <c r="B13" s="578" t="s">
        <v>172</v>
      </c>
      <c r="C13" s="208" t="s">
        <v>145</v>
      </c>
      <c r="D13" s="209">
        <f t="shared" si="0"/>
        <v>0</v>
      </c>
      <c r="E13" s="209" t="s">
        <v>146</v>
      </c>
      <c r="F13" s="427" t="s">
        <v>145</v>
      </c>
      <c r="G13" s="252"/>
      <c r="H13" s="252" t="s">
        <v>146</v>
      </c>
      <c r="I13" s="427" t="s">
        <v>145</v>
      </c>
      <c r="J13" s="252"/>
      <c r="K13" s="252" t="s">
        <v>146</v>
      </c>
      <c r="L13" s="427" t="s">
        <v>145</v>
      </c>
      <c r="M13" s="209">
        <f t="shared" si="1"/>
        <v>0</v>
      </c>
      <c r="N13" s="252" t="s">
        <v>146</v>
      </c>
      <c r="O13" s="212" t="s">
        <v>145</v>
      </c>
      <c r="P13" s="209"/>
      <c r="Q13" s="209" t="s">
        <v>146</v>
      </c>
      <c r="R13" s="208" t="s">
        <v>145</v>
      </c>
      <c r="S13" s="209">
        <f t="shared" si="2"/>
        <v>0</v>
      </c>
      <c r="T13" s="209" t="s">
        <v>146</v>
      </c>
      <c r="U13" s="212" t="s">
        <v>145</v>
      </c>
      <c r="V13" s="209"/>
      <c r="W13" s="209" t="s">
        <v>146</v>
      </c>
      <c r="X13" s="212" t="s">
        <v>145</v>
      </c>
      <c r="Y13" s="209"/>
      <c r="Z13" s="209" t="s">
        <v>146</v>
      </c>
      <c r="AA13" s="212" t="s">
        <v>145</v>
      </c>
      <c r="AB13" s="209">
        <f t="shared" si="3"/>
        <v>0</v>
      </c>
      <c r="AC13" s="209" t="s">
        <v>146</v>
      </c>
      <c r="AD13" s="212" t="s">
        <v>145</v>
      </c>
      <c r="AE13" s="209"/>
      <c r="AF13" s="211" t="s">
        <v>146</v>
      </c>
      <c r="AG13" s="209"/>
      <c r="AH13" s="209"/>
      <c r="AI13" s="208" t="s">
        <v>145</v>
      </c>
      <c r="AJ13" s="209">
        <f t="shared" si="4"/>
        <v>0</v>
      </c>
      <c r="AK13" s="209" t="s">
        <v>146</v>
      </c>
      <c r="AL13" s="212" t="s">
        <v>145</v>
      </c>
      <c r="AM13" s="209"/>
      <c r="AN13" s="209" t="s">
        <v>146</v>
      </c>
      <c r="AO13" s="212" t="s">
        <v>145</v>
      </c>
      <c r="AP13" s="209"/>
      <c r="AQ13" s="209" t="s">
        <v>146</v>
      </c>
      <c r="AR13" s="212" t="s">
        <v>145</v>
      </c>
      <c r="AS13" s="209">
        <f t="shared" si="5"/>
        <v>0</v>
      </c>
      <c r="AT13" s="209" t="s">
        <v>146</v>
      </c>
      <c r="AU13" s="212" t="s">
        <v>145</v>
      </c>
      <c r="AV13" s="209"/>
      <c r="AW13" s="211" t="s">
        <v>146</v>
      </c>
      <c r="AX13" s="208" t="s">
        <v>145</v>
      </c>
      <c r="AY13" s="209">
        <f t="shared" si="6"/>
        <v>0</v>
      </c>
      <c r="AZ13" s="209" t="s">
        <v>146</v>
      </c>
      <c r="BA13" s="212" t="s">
        <v>145</v>
      </c>
      <c r="BB13" s="209"/>
      <c r="BC13" s="209" t="s">
        <v>146</v>
      </c>
      <c r="BD13" s="212" t="s">
        <v>145</v>
      </c>
      <c r="BE13" s="209"/>
      <c r="BF13" s="209" t="s">
        <v>146</v>
      </c>
      <c r="BG13" s="212" t="s">
        <v>145</v>
      </c>
      <c r="BH13" s="209">
        <f t="shared" si="7"/>
        <v>0</v>
      </c>
      <c r="BI13" s="209" t="s">
        <v>146</v>
      </c>
      <c r="BJ13" s="212" t="s">
        <v>145</v>
      </c>
      <c r="BK13" s="209"/>
      <c r="BL13" s="209" t="s">
        <v>146</v>
      </c>
      <c r="BM13" s="653">
        <v>21</v>
      </c>
      <c r="BN13" s="572">
        <v>22</v>
      </c>
      <c r="BO13" s="574" t="s">
        <v>299</v>
      </c>
      <c r="BP13" s="209" t="s">
        <v>145</v>
      </c>
      <c r="BQ13" s="209">
        <f t="shared" si="8"/>
        <v>0</v>
      </c>
      <c r="BR13" s="209" t="s">
        <v>146</v>
      </c>
      <c r="BS13" s="212" t="s">
        <v>145</v>
      </c>
      <c r="BT13" s="209"/>
      <c r="BU13" s="209" t="s">
        <v>146</v>
      </c>
      <c r="BV13" s="212" t="s">
        <v>145</v>
      </c>
      <c r="BW13" s="209"/>
      <c r="BX13" s="209" t="s">
        <v>146</v>
      </c>
      <c r="BY13" s="212" t="s">
        <v>145</v>
      </c>
      <c r="BZ13" s="209">
        <f t="shared" si="9"/>
        <v>0</v>
      </c>
      <c r="CA13" s="209" t="s">
        <v>146</v>
      </c>
      <c r="CB13" s="212" t="s">
        <v>145</v>
      </c>
      <c r="CC13" s="209"/>
      <c r="CD13" s="209" t="s">
        <v>146</v>
      </c>
      <c r="CE13" s="208" t="s">
        <v>145</v>
      </c>
      <c r="CF13" s="209">
        <f t="shared" si="10"/>
        <v>1021.0373</v>
      </c>
      <c r="CG13" s="209" t="s">
        <v>146</v>
      </c>
      <c r="CH13" s="212" t="s">
        <v>145</v>
      </c>
      <c r="CI13" s="209"/>
      <c r="CJ13" s="209" t="s">
        <v>146</v>
      </c>
      <c r="CK13" s="212" t="s">
        <v>145</v>
      </c>
      <c r="CL13" s="209"/>
      <c r="CM13" s="209" t="s">
        <v>146</v>
      </c>
      <c r="CN13" s="212" t="s">
        <v>145</v>
      </c>
      <c r="CO13" s="209">
        <f t="shared" si="11"/>
        <v>0</v>
      </c>
      <c r="CP13" s="209" t="s">
        <v>146</v>
      </c>
      <c r="CQ13" s="212" t="s">
        <v>145</v>
      </c>
      <c r="CR13" s="209">
        <v>1021.0373</v>
      </c>
      <c r="CS13" s="211" t="s">
        <v>146</v>
      </c>
      <c r="CT13" s="209"/>
      <c r="CU13" s="208" t="s">
        <v>145</v>
      </c>
      <c r="CV13" s="209">
        <f t="shared" si="12"/>
        <v>0</v>
      </c>
      <c r="CW13" s="209" t="s">
        <v>146</v>
      </c>
      <c r="CX13" s="212" t="s">
        <v>145</v>
      </c>
      <c r="CY13" s="209"/>
      <c r="CZ13" s="209" t="s">
        <v>146</v>
      </c>
      <c r="DA13" s="212" t="s">
        <v>145</v>
      </c>
      <c r="DB13" s="209"/>
      <c r="DC13" s="209" t="s">
        <v>146</v>
      </c>
      <c r="DD13" s="212" t="s">
        <v>145</v>
      </c>
      <c r="DE13" s="209">
        <f t="shared" si="13"/>
        <v>0</v>
      </c>
      <c r="DF13" s="209" t="s">
        <v>146</v>
      </c>
      <c r="DG13" s="212" t="s">
        <v>145</v>
      </c>
      <c r="DH13" s="209"/>
      <c r="DI13" s="211" t="s">
        <v>146</v>
      </c>
      <c r="DJ13" s="655">
        <f>DJ11+1</f>
        <v>21</v>
      </c>
      <c r="DK13" s="199"/>
    </row>
    <row r="14" spans="1:115" s="197" customFormat="1" ht="15.75" customHeight="1" thickBot="1">
      <c r="A14" s="580"/>
      <c r="B14" s="611"/>
      <c r="C14" s="216"/>
      <c r="D14" s="289">
        <f t="shared" si="0"/>
        <v>0.4696</v>
      </c>
      <c r="E14" s="217"/>
      <c r="F14" s="432"/>
      <c r="G14" s="280"/>
      <c r="H14" s="280"/>
      <c r="I14" s="432"/>
      <c r="J14" s="280"/>
      <c r="K14" s="280"/>
      <c r="L14" s="432"/>
      <c r="M14" s="217">
        <f t="shared" si="1"/>
        <v>0</v>
      </c>
      <c r="N14" s="280"/>
      <c r="O14" s="218"/>
      <c r="P14" s="289">
        <v>0.4696</v>
      </c>
      <c r="Q14" s="217"/>
      <c r="R14" s="216"/>
      <c r="S14" s="217">
        <f t="shared" si="2"/>
        <v>1.7634</v>
      </c>
      <c r="T14" s="217"/>
      <c r="U14" s="218"/>
      <c r="V14" s="217"/>
      <c r="W14" s="217"/>
      <c r="X14" s="218"/>
      <c r="Y14" s="217"/>
      <c r="Z14" s="217"/>
      <c r="AA14" s="218"/>
      <c r="AB14" s="217">
        <f t="shared" si="3"/>
        <v>0</v>
      </c>
      <c r="AC14" s="217"/>
      <c r="AD14" s="218"/>
      <c r="AE14" s="303">
        <v>1.7634</v>
      </c>
      <c r="AF14" s="219"/>
      <c r="AG14" s="209"/>
      <c r="AH14" s="209"/>
      <c r="AI14" s="208"/>
      <c r="AJ14" s="209">
        <f t="shared" si="4"/>
        <v>15.5815</v>
      </c>
      <c r="AK14" s="209"/>
      <c r="AL14" s="212"/>
      <c r="AM14" s="209">
        <v>15.57</v>
      </c>
      <c r="AN14" s="209"/>
      <c r="AO14" s="212"/>
      <c r="AP14" s="209"/>
      <c r="AQ14" s="209"/>
      <c r="AR14" s="212"/>
      <c r="AS14" s="209">
        <f t="shared" si="5"/>
        <v>15.57</v>
      </c>
      <c r="AT14" s="209"/>
      <c r="AU14" s="212"/>
      <c r="AV14" s="312">
        <v>0.0115</v>
      </c>
      <c r="AW14" s="211"/>
      <c r="AX14" s="208"/>
      <c r="AY14" s="209">
        <f t="shared" si="6"/>
        <v>0</v>
      </c>
      <c r="AZ14" s="209"/>
      <c r="BA14" s="212"/>
      <c r="BB14" s="209"/>
      <c r="BC14" s="209"/>
      <c r="BD14" s="212"/>
      <c r="BE14" s="209"/>
      <c r="BF14" s="209"/>
      <c r="BG14" s="212"/>
      <c r="BH14" s="209">
        <f t="shared" si="7"/>
        <v>0</v>
      </c>
      <c r="BI14" s="209"/>
      <c r="BJ14" s="212"/>
      <c r="BK14" s="209"/>
      <c r="BL14" s="209"/>
      <c r="BM14" s="653"/>
      <c r="BN14" s="572"/>
      <c r="BO14" s="574"/>
      <c r="BP14" s="209"/>
      <c r="BQ14" s="209">
        <f t="shared" si="8"/>
        <v>0</v>
      </c>
      <c r="BR14" s="209"/>
      <c r="BS14" s="212"/>
      <c r="BT14" s="209"/>
      <c r="BU14" s="209"/>
      <c r="BV14" s="212"/>
      <c r="BW14" s="209"/>
      <c r="BX14" s="209"/>
      <c r="BY14" s="212"/>
      <c r="BZ14" s="209">
        <f t="shared" si="9"/>
        <v>0</v>
      </c>
      <c r="CA14" s="209"/>
      <c r="CB14" s="212"/>
      <c r="CC14" s="209"/>
      <c r="CD14" s="209"/>
      <c r="CE14" s="208"/>
      <c r="CF14" s="209">
        <f t="shared" si="10"/>
        <v>3.5576</v>
      </c>
      <c r="CG14" s="209"/>
      <c r="CH14" s="212"/>
      <c r="CI14" s="209"/>
      <c r="CJ14" s="209"/>
      <c r="CK14" s="212"/>
      <c r="CL14" s="209"/>
      <c r="CM14" s="209"/>
      <c r="CN14" s="212"/>
      <c r="CO14" s="209">
        <f t="shared" si="11"/>
        <v>0</v>
      </c>
      <c r="CP14" s="209"/>
      <c r="CQ14" s="212"/>
      <c r="CR14" s="209">
        <v>3.5576</v>
      </c>
      <c r="CS14" s="211"/>
      <c r="CT14" s="209"/>
      <c r="CU14" s="208"/>
      <c r="CV14" s="209">
        <f t="shared" si="12"/>
        <v>0</v>
      </c>
      <c r="CW14" s="209"/>
      <c r="CX14" s="212"/>
      <c r="CY14" s="209"/>
      <c r="CZ14" s="209"/>
      <c r="DA14" s="212"/>
      <c r="DB14" s="209"/>
      <c r="DC14" s="209"/>
      <c r="DD14" s="212"/>
      <c r="DE14" s="209">
        <f t="shared" si="13"/>
        <v>0</v>
      </c>
      <c r="DF14" s="209"/>
      <c r="DG14" s="212"/>
      <c r="DH14" s="209"/>
      <c r="DI14" s="211"/>
      <c r="DJ14" s="650"/>
      <c r="DK14" s="199"/>
    </row>
    <row r="15" spans="1:114" ht="13.5" customHeight="1">
      <c r="A15" s="569"/>
      <c r="B15" s="568" t="s">
        <v>294</v>
      </c>
      <c r="C15" s="271" t="s">
        <v>145</v>
      </c>
      <c r="D15" s="494">
        <f>D17+D19+D21+D23+D25+D27+D29</f>
        <v>0</v>
      </c>
      <c r="E15" s="230" t="s">
        <v>146</v>
      </c>
      <c r="F15" s="232" t="s">
        <v>145</v>
      </c>
      <c r="G15" s="495">
        <f>G17+G19+G21+G23+G25+G27+G29</f>
        <v>0</v>
      </c>
      <c r="H15" s="231" t="s">
        <v>146</v>
      </c>
      <c r="I15" s="230" t="s">
        <v>145</v>
      </c>
      <c r="J15" s="495">
        <f>J17+J19+J21+J23+J25+J27+J29</f>
        <v>0</v>
      </c>
      <c r="K15" s="230" t="s">
        <v>146</v>
      </c>
      <c r="L15" s="232" t="s">
        <v>145</v>
      </c>
      <c r="M15" s="495"/>
      <c r="N15" s="230" t="s">
        <v>146</v>
      </c>
      <c r="O15" s="233" t="s">
        <v>145</v>
      </c>
      <c r="P15" s="494">
        <f>P17+P19+P21+P23+P25+P27+P29</f>
        <v>0</v>
      </c>
      <c r="Q15" s="426" t="s">
        <v>146</v>
      </c>
      <c r="R15" s="229" t="s">
        <v>145</v>
      </c>
      <c r="S15" s="495"/>
      <c r="T15" s="230" t="s">
        <v>146</v>
      </c>
      <c r="U15" s="232" t="s">
        <v>145</v>
      </c>
      <c r="V15" s="495">
        <f>V17+V19+V21+V23+V25+V27+V29</f>
        <v>0</v>
      </c>
      <c r="W15" s="231" t="s">
        <v>146</v>
      </c>
      <c r="X15" s="230" t="s">
        <v>145</v>
      </c>
      <c r="Y15" s="495">
        <f>Y17+Y19+Y21+Y23+Y25+Y27+Y29</f>
        <v>0</v>
      </c>
      <c r="Z15" s="231" t="s">
        <v>146</v>
      </c>
      <c r="AA15" s="232" t="s">
        <v>145</v>
      </c>
      <c r="AB15" s="495"/>
      <c r="AC15" s="230" t="s">
        <v>146</v>
      </c>
      <c r="AD15" s="233" t="s">
        <v>145</v>
      </c>
      <c r="AE15" s="495">
        <f>AE17+AE19+AE21+AE23+AE25+AE27+AE29</f>
        <v>0</v>
      </c>
      <c r="AF15" s="234" t="s">
        <v>146</v>
      </c>
      <c r="AI15" s="499" t="s">
        <v>338</v>
      </c>
      <c r="AJ15" s="498"/>
      <c r="AK15" s="493" t="s">
        <v>339</v>
      </c>
      <c r="AL15" s="497" t="s">
        <v>338</v>
      </c>
      <c r="AM15" s="493">
        <f>AM17+AM19+AM21+AM23+AM25+AM27+AM29</f>
        <v>0</v>
      </c>
      <c r="AN15" s="493" t="s">
        <v>339</v>
      </c>
      <c r="AO15" s="497" t="s">
        <v>338</v>
      </c>
      <c r="AP15" s="493">
        <f>AP17+AP19+AP21+AP23+AP25+AP27+AP29</f>
        <v>0</v>
      </c>
      <c r="AQ15" s="493" t="s">
        <v>339</v>
      </c>
      <c r="AR15" s="497" t="s">
        <v>338</v>
      </c>
      <c r="AS15" s="493"/>
      <c r="AT15" s="493" t="s">
        <v>339</v>
      </c>
      <c r="AU15" s="497" t="s">
        <v>338</v>
      </c>
      <c r="AV15" s="493">
        <f>AV17+AV19+AV21+AV23+AV25+AV27+AV29</f>
        <v>0</v>
      </c>
      <c r="AW15" s="496" t="s">
        <v>339</v>
      </c>
      <c r="AX15" s="499" t="s">
        <v>338</v>
      </c>
      <c r="AY15" s="498"/>
      <c r="AZ15" s="493" t="s">
        <v>339</v>
      </c>
      <c r="BA15" s="497" t="s">
        <v>338</v>
      </c>
      <c r="BB15" s="493">
        <f>BB17+BB19+BB21+BB23+BB25+BB27+BB29</f>
        <v>0</v>
      </c>
      <c r="BC15" s="493" t="s">
        <v>339</v>
      </c>
      <c r="BD15" s="497" t="s">
        <v>338</v>
      </c>
      <c r="BE15" s="493">
        <f>BE17+BE19+BE21+BE23+BE25+BE27+BE29</f>
        <v>0</v>
      </c>
      <c r="BF15" s="493" t="s">
        <v>339</v>
      </c>
      <c r="BG15" s="497" t="s">
        <v>338</v>
      </c>
      <c r="BH15" s="493"/>
      <c r="BI15" s="493" t="s">
        <v>339</v>
      </c>
      <c r="BJ15" s="497" t="s">
        <v>338</v>
      </c>
      <c r="BK15" s="493">
        <f>BK17+BK19+BK21+BK23+BK25+BK27+BK29</f>
        <v>0</v>
      </c>
      <c r="BL15" s="496" t="s">
        <v>339</v>
      </c>
      <c r="BM15" s="492"/>
      <c r="BN15" s="569"/>
      <c r="BO15" s="568" t="s">
        <v>294</v>
      </c>
      <c r="BP15" s="271" t="s">
        <v>145</v>
      </c>
      <c r="BQ15" s="494">
        <f t="shared" si="8"/>
        <v>0</v>
      </c>
      <c r="BR15" s="230" t="s">
        <v>146</v>
      </c>
      <c r="BS15" s="232" t="s">
        <v>145</v>
      </c>
      <c r="BT15" s="495">
        <f>BT17+BT19+BT21+BT23+BT25+BT27+BT29</f>
        <v>0</v>
      </c>
      <c r="BU15" s="231" t="s">
        <v>146</v>
      </c>
      <c r="BV15" s="230" t="s">
        <v>145</v>
      </c>
      <c r="BW15" s="495">
        <f>BW17+BW19+BW21+BW23+BW25+BW27+BW29</f>
        <v>0</v>
      </c>
      <c r="BX15" s="230" t="s">
        <v>146</v>
      </c>
      <c r="BY15" s="232" t="s">
        <v>145</v>
      </c>
      <c r="BZ15" s="494">
        <f t="shared" si="9"/>
        <v>0</v>
      </c>
      <c r="CA15" s="230" t="s">
        <v>146</v>
      </c>
      <c r="CB15" s="233" t="s">
        <v>145</v>
      </c>
      <c r="CC15" s="495">
        <f>CC17+CC19+CC21+CC23+CC25+CC27+CC29</f>
        <v>0</v>
      </c>
      <c r="CD15" s="426" t="s">
        <v>146</v>
      </c>
      <c r="CE15" s="229" t="s">
        <v>145</v>
      </c>
      <c r="CF15" s="493">
        <f t="shared" si="10"/>
        <v>52.098099999999995</v>
      </c>
      <c r="CG15" s="230" t="s">
        <v>146</v>
      </c>
      <c r="CH15" s="232" t="s">
        <v>145</v>
      </c>
      <c r="CI15" s="494">
        <f>CI17+CI19+CI21+CI23+CI25+CI27+CI29</f>
        <v>0</v>
      </c>
      <c r="CJ15" s="231" t="s">
        <v>146</v>
      </c>
      <c r="CK15" s="230" t="s">
        <v>145</v>
      </c>
      <c r="CL15" s="494">
        <f>CL17+CL19+CL21+CL23+CL25+CL27+CL29</f>
        <v>0.2666</v>
      </c>
      <c r="CM15" s="230" t="s">
        <v>146</v>
      </c>
      <c r="CN15" s="232" t="s">
        <v>145</v>
      </c>
      <c r="CO15" s="494">
        <f t="shared" si="11"/>
        <v>0.2666</v>
      </c>
      <c r="CP15" s="230" t="s">
        <v>146</v>
      </c>
      <c r="CQ15" s="233" t="s">
        <v>145</v>
      </c>
      <c r="CR15" s="493">
        <f>CR17+CR19+CR21+CR23+CR25+CR27+CR29</f>
        <v>51.8315</v>
      </c>
      <c r="CS15" s="234" t="s">
        <v>146</v>
      </c>
      <c r="CU15" s="229" t="s">
        <v>145</v>
      </c>
      <c r="CV15" s="493">
        <f t="shared" si="12"/>
        <v>6.2578</v>
      </c>
      <c r="CW15" s="230" t="s">
        <v>146</v>
      </c>
      <c r="CX15" s="232" t="s">
        <v>145</v>
      </c>
      <c r="CY15" s="495">
        <f>CY17+CY19+CY21+CY23+CY25+CY27+CY29</f>
        <v>0</v>
      </c>
      <c r="CZ15" s="231" t="s">
        <v>146</v>
      </c>
      <c r="DA15" s="230" t="s">
        <v>145</v>
      </c>
      <c r="DB15" s="495">
        <f>DB17+DB19+DB21+DB23+DB25+DB27+DB29</f>
        <v>0</v>
      </c>
      <c r="DC15" s="230" t="s">
        <v>146</v>
      </c>
      <c r="DD15" s="232" t="s">
        <v>145</v>
      </c>
      <c r="DE15" s="494">
        <f t="shared" si="13"/>
        <v>0</v>
      </c>
      <c r="DF15" s="230" t="s">
        <v>146</v>
      </c>
      <c r="DG15" s="233" t="s">
        <v>145</v>
      </c>
      <c r="DH15" s="493">
        <f>DH17+DH19+DH21+DH23+DH25+DH27+DH29</f>
        <v>6.2578</v>
      </c>
      <c r="DI15" s="426" t="s">
        <v>146</v>
      </c>
      <c r="DJ15" s="492"/>
    </row>
    <row r="16" spans="1:114" ht="13.5" customHeight="1" thickBot="1">
      <c r="A16" s="651"/>
      <c r="B16" s="707"/>
      <c r="C16" s="489"/>
      <c r="D16" s="490">
        <f>D18+D20+D22+D24+D26+D28+D30</f>
        <v>41.550200000000004</v>
      </c>
      <c r="E16" s="487"/>
      <c r="F16" s="488"/>
      <c r="G16" s="487">
        <f>G18+G20+G22+G24+G26+G28+G30</f>
        <v>0</v>
      </c>
      <c r="H16" s="487"/>
      <c r="I16" s="488"/>
      <c r="J16" s="487">
        <f>J18+J20+J22+J24+J26+J28+J30</f>
        <v>0.0291</v>
      </c>
      <c r="K16" s="487"/>
      <c r="L16" s="488"/>
      <c r="M16" s="487"/>
      <c r="N16" s="487"/>
      <c r="O16" s="488"/>
      <c r="P16" s="490">
        <f>P18+P20+P22+P24+P26+P28+P30</f>
        <v>41.521100000000004</v>
      </c>
      <c r="Q16" s="486"/>
      <c r="R16" s="489"/>
      <c r="S16" s="487"/>
      <c r="T16" s="487"/>
      <c r="U16" s="488"/>
      <c r="V16" s="487">
        <f>V18+V20+V22+V24+V26+V28+V30</f>
        <v>0</v>
      </c>
      <c r="W16" s="491"/>
      <c r="X16" s="487"/>
      <c r="Y16" s="487">
        <f>Y18+Y20+Y22+Y24+Y26+Y28+Y30</f>
        <v>0</v>
      </c>
      <c r="Z16" s="491"/>
      <c r="AA16" s="487"/>
      <c r="AB16" s="487"/>
      <c r="AC16" s="487"/>
      <c r="AD16" s="488"/>
      <c r="AE16" s="487">
        <f>AE18+AE20+AE22+AE24+AE26+AE28+AE30</f>
        <v>0</v>
      </c>
      <c r="AF16" s="486"/>
      <c r="AI16" s="489"/>
      <c r="AJ16" s="490">
        <f aca="true" t="shared" si="14" ref="AJ16:AJ30">AS16+AV16</f>
        <v>40.0509</v>
      </c>
      <c r="AK16" s="487"/>
      <c r="AL16" s="488"/>
      <c r="AM16" s="487">
        <f>AM18+AM20+AM22+AM24+AM26+AM28+AM30</f>
        <v>0</v>
      </c>
      <c r="AN16" s="487"/>
      <c r="AO16" s="488"/>
      <c r="AP16" s="487">
        <f>AP18+AP20+AP22+AP24+AP26+AP28+AP30</f>
        <v>0</v>
      </c>
      <c r="AQ16" s="487"/>
      <c r="AR16" s="488"/>
      <c r="AS16" s="487"/>
      <c r="AT16" s="487"/>
      <c r="AU16" s="488"/>
      <c r="AV16" s="490">
        <f>AV18+AV20+AV22+AV24+AV26+AV28+AV30</f>
        <v>40.0509</v>
      </c>
      <c r="AW16" s="486"/>
      <c r="AX16" s="489"/>
      <c r="AY16" s="487"/>
      <c r="AZ16" s="487"/>
      <c r="BA16" s="488"/>
      <c r="BB16" s="487">
        <f>BB18+BB20+BB22+BB24+BB26+BB28+BB30</f>
        <v>0</v>
      </c>
      <c r="BC16" s="487"/>
      <c r="BD16" s="488"/>
      <c r="BE16" s="487">
        <f>BE18+BE20+BE22+BE24+BE26+BE28+BE30</f>
        <v>0</v>
      </c>
      <c r="BF16" s="487"/>
      <c r="BG16" s="488"/>
      <c r="BH16" s="487"/>
      <c r="BI16" s="487"/>
      <c r="BJ16" s="488"/>
      <c r="BK16" s="487">
        <f>BK18+BK20+BK22+BK24+BK26+BK28+BK30</f>
        <v>0</v>
      </c>
      <c r="BL16" s="486"/>
      <c r="BM16" s="477"/>
      <c r="BN16" s="651"/>
      <c r="BO16" s="707"/>
      <c r="BP16" s="482"/>
      <c r="BQ16" s="479">
        <f t="shared" si="8"/>
        <v>0</v>
      </c>
      <c r="BR16" s="481"/>
      <c r="BS16" s="485"/>
      <c r="BT16" s="481">
        <f>BT18+BT20+BT22+BT24+BT26+BT28+BT30</f>
        <v>0</v>
      </c>
      <c r="BU16" s="481"/>
      <c r="BV16" s="480"/>
      <c r="BW16" s="481">
        <f>BW18+BW20+BW22+BW24+BW26+BW28+BW30</f>
        <v>0</v>
      </c>
      <c r="BX16" s="481"/>
      <c r="BY16" s="480"/>
      <c r="BZ16" s="479">
        <f t="shared" si="9"/>
        <v>0</v>
      </c>
      <c r="CA16" s="481"/>
      <c r="CB16" s="480"/>
      <c r="CC16" s="481">
        <f>CC18+CC20+CC22+CC24+CC26+CC28+CC30</f>
        <v>0</v>
      </c>
      <c r="CD16" s="478"/>
      <c r="CE16" s="484"/>
      <c r="CF16" s="479">
        <f t="shared" si="10"/>
        <v>0</v>
      </c>
      <c r="CG16" s="479"/>
      <c r="CH16" s="483"/>
      <c r="CI16" s="479">
        <f>CI18+CI20+CI22+CI24+CI26+CI28+CI30</f>
        <v>0</v>
      </c>
      <c r="CJ16" s="479"/>
      <c r="CK16" s="483"/>
      <c r="CL16" s="479">
        <f>CL18+CL20+CL22+CL24+CL26+CL28+CL30</f>
        <v>0</v>
      </c>
      <c r="CM16" s="479"/>
      <c r="CN16" s="483"/>
      <c r="CO16" s="479">
        <f t="shared" si="11"/>
        <v>0</v>
      </c>
      <c r="CP16" s="479"/>
      <c r="CQ16" s="483"/>
      <c r="CR16" s="479">
        <f>CR18+CR20+CR22+CR24+CR26+CR28+CR30</f>
        <v>0</v>
      </c>
      <c r="CS16" s="478"/>
      <c r="CU16" s="482"/>
      <c r="CV16" s="479">
        <f t="shared" si="12"/>
        <v>6.13</v>
      </c>
      <c r="CW16" s="481"/>
      <c r="CX16" s="480"/>
      <c r="CY16" s="481">
        <f>CY18+CY20+CY22+CY24+CY26+CY28+CY30</f>
        <v>0</v>
      </c>
      <c r="CZ16" s="481"/>
      <c r="DA16" s="480"/>
      <c r="DB16" s="479">
        <f>DB18+DB20+DB22+DB24+DB26+DB28+DB30</f>
        <v>1.3071</v>
      </c>
      <c r="DC16" s="481"/>
      <c r="DD16" s="480"/>
      <c r="DE16" s="479">
        <f t="shared" si="13"/>
        <v>1.3071</v>
      </c>
      <c r="DF16" s="481"/>
      <c r="DG16" s="480"/>
      <c r="DH16" s="479">
        <f>DH18+DH20+DH22+DH24+DH26+DH28+DH30</f>
        <v>4.8229</v>
      </c>
      <c r="DI16" s="478"/>
      <c r="DJ16" s="477"/>
    </row>
    <row r="17" spans="1:115" s="197" customFormat="1" ht="15.75" customHeight="1">
      <c r="A17" s="579">
        <v>22</v>
      </c>
      <c r="B17" s="578" t="s">
        <v>173</v>
      </c>
      <c r="C17" s="209" t="s">
        <v>145</v>
      </c>
      <c r="D17" s="209">
        <f aca="true" t="shared" si="15" ref="D17:D30">M17+P17</f>
        <v>0</v>
      </c>
      <c r="E17" s="209" t="s">
        <v>146</v>
      </c>
      <c r="F17" s="427" t="s">
        <v>145</v>
      </c>
      <c r="G17" s="252"/>
      <c r="H17" s="252" t="s">
        <v>146</v>
      </c>
      <c r="I17" s="427" t="s">
        <v>145</v>
      </c>
      <c r="J17" s="252"/>
      <c r="K17" s="252" t="s">
        <v>146</v>
      </c>
      <c r="L17" s="427" t="s">
        <v>145</v>
      </c>
      <c r="M17" s="209">
        <f aca="true" t="shared" si="16" ref="M17:M58">G17+J17</f>
        <v>0</v>
      </c>
      <c r="N17" s="252" t="s">
        <v>146</v>
      </c>
      <c r="O17" s="212" t="s">
        <v>145</v>
      </c>
      <c r="P17" s="209"/>
      <c r="Q17" s="209" t="s">
        <v>146</v>
      </c>
      <c r="R17" s="208" t="s">
        <v>145</v>
      </c>
      <c r="S17" s="209">
        <f aca="true" t="shared" si="17" ref="S17:S30">AB17+AE17</f>
        <v>0</v>
      </c>
      <c r="T17" s="209" t="s">
        <v>146</v>
      </c>
      <c r="U17" s="212" t="s">
        <v>145</v>
      </c>
      <c r="V17" s="209"/>
      <c r="W17" s="209" t="s">
        <v>146</v>
      </c>
      <c r="X17" s="212" t="s">
        <v>145</v>
      </c>
      <c r="Y17" s="209"/>
      <c r="Z17" s="209" t="s">
        <v>146</v>
      </c>
      <c r="AA17" s="212" t="s">
        <v>145</v>
      </c>
      <c r="AB17" s="209">
        <f aca="true" t="shared" si="18" ref="AB17:AB58">V17+Y17</f>
        <v>0</v>
      </c>
      <c r="AC17" s="209" t="s">
        <v>146</v>
      </c>
      <c r="AD17" s="212" t="s">
        <v>145</v>
      </c>
      <c r="AE17" s="209"/>
      <c r="AF17" s="211" t="s">
        <v>146</v>
      </c>
      <c r="AG17" s="209"/>
      <c r="AH17" s="209"/>
      <c r="AI17" s="208" t="s">
        <v>145</v>
      </c>
      <c r="AJ17" s="209">
        <f t="shared" si="14"/>
        <v>0</v>
      </c>
      <c r="AK17" s="209" t="s">
        <v>146</v>
      </c>
      <c r="AL17" s="212" t="s">
        <v>145</v>
      </c>
      <c r="AM17" s="209"/>
      <c r="AN17" s="209" t="s">
        <v>146</v>
      </c>
      <c r="AO17" s="212" t="s">
        <v>145</v>
      </c>
      <c r="AP17" s="209"/>
      <c r="AQ17" s="209" t="s">
        <v>146</v>
      </c>
      <c r="AR17" s="212" t="s">
        <v>145</v>
      </c>
      <c r="AS17" s="209">
        <f aca="true" t="shared" si="19" ref="AS17:AS30">AM17+AP17</f>
        <v>0</v>
      </c>
      <c r="AT17" s="209" t="s">
        <v>146</v>
      </c>
      <c r="AU17" s="212" t="s">
        <v>145</v>
      </c>
      <c r="AV17" s="209"/>
      <c r="AW17" s="211" t="s">
        <v>146</v>
      </c>
      <c r="AX17" s="208" t="s">
        <v>145</v>
      </c>
      <c r="AY17" s="209">
        <f aca="true" t="shared" si="20" ref="AY17:AY30">BH17+BK17</f>
        <v>0</v>
      </c>
      <c r="AZ17" s="209" t="s">
        <v>146</v>
      </c>
      <c r="BA17" s="212" t="s">
        <v>145</v>
      </c>
      <c r="BB17" s="209"/>
      <c r="BC17" s="209" t="s">
        <v>146</v>
      </c>
      <c r="BD17" s="212" t="s">
        <v>145</v>
      </c>
      <c r="BE17" s="209"/>
      <c r="BF17" s="209" t="s">
        <v>146</v>
      </c>
      <c r="BG17" s="212" t="s">
        <v>145</v>
      </c>
      <c r="BH17" s="209">
        <f aca="true" t="shared" si="21" ref="BH17:BH30">BB17+BE17</f>
        <v>0</v>
      </c>
      <c r="BI17" s="209" t="s">
        <v>146</v>
      </c>
      <c r="BJ17" s="212" t="s">
        <v>145</v>
      </c>
      <c r="BK17" s="209"/>
      <c r="BL17" s="209" t="s">
        <v>146</v>
      </c>
      <c r="BM17" s="653">
        <f>BM13+1</f>
        <v>22</v>
      </c>
      <c r="BN17" s="579">
        <v>20</v>
      </c>
      <c r="BO17" s="578" t="s">
        <v>173</v>
      </c>
      <c r="BP17" s="209" t="s">
        <v>145</v>
      </c>
      <c r="BQ17" s="209">
        <f t="shared" si="8"/>
        <v>0</v>
      </c>
      <c r="BR17" s="209" t="s">
        <v>146</v>
      </c>
      <c r="BS17" s="212" t="s">
        <v>145</v>
      </c>
      <c r="BT17" s="209"/>
      <c r="BU17" s="209" t="s">
        <v>146</v>
      </c>
      <c r="BV17" s="212" t="s">
        <v>145</v>
      </c>
      <c r="BW17" s="209"/>
      <c r="BX17" s="209" t="s">
        <v>146</v>
      </c>
      <c r="BY17" s="212" t="s">
        <v>145</v>
      </c>
      <c r="BZ17" s="209">
        <f t="shared" si="9"/>
        <v>0</v>
      </c>
      <c r="CA17" s="209" t="s">
        <v>146</v>
      </c>
      <c r="CB17" s="212" t="s">
        <v>145</v>
      </c>
      <c r="CC17" s="209"/>
      <c r="CD17" s="209" t="s">
        <v>146</v>
      </c>
      <c r="CE17" s="208" t="s">
        <v>145</v>
      </c>
      <c r="CF17" s="209">
        <f t="shared" si="10"/>
        <v>38.9068</v>
      </c>
      <c r="CG17" s="209" t="s">
        <v>146</v>
      </c>
      <c r="CH17" s="212" t="s">
        <v>145</v>
      </c>
      <c r="CI17" s="209"/>
      <c r="CJ17" s="209" t="s">
        <v>146</v>
      </c>
      <c r="CK17" s="212" t="s">
        <v>145</v>
      </c>
      <c r="CL17" s="313">
        <f>0.2255</f>
        <v>0.2255</v>
      </c>
      <c r="CM17" s="209" t="s">
        <v>146</v>
      </c>
      <c r="CN17" s="212" t="s">
        <v>145</v>
      </c>
      <c r="CO17" s="209">
        <f t="shared" si="11"/>
        <v>0.2255</v>
      </c>
      <c r="CP17" s="209" t="s">
        <v>146</v>
      </c>
      <c r="CQ17" s="212" t="s">
        <v>145</v>
      </c>
      <c r="CR17" s="209">
        <v>38.6813</v>
      </c>
      <c r="CS17" s="211" t="s">
        <v>146</v>
      </c>
      <c r="CT17" s="209"/>
      <c r="CU17" s="208" t="s">
        <v>145</v>
      </c>
      <c r="CV17" s="209">
        <f t="shared" si="12"/>
        <v>6.2578</v>
      </c>
      <c r="CW17" s="209" t="s">
        <v>146</v>
      </c>
      <c r="CX17" s="212" t="s">
        <v>145</v>
      </c>
      <c r="CY17" s="209"/>
      <c r="CZ17" s="209" t="s">
        <v>146</v>
      </c>
      <c r="DA17" s="212" t="s">
        <v>145</v>
      </c>
      <c r="DB17" s="209"/>
      <c r="DC17" s="209" t="s">
        <v>146</v>
      </c>
      <c r="DD17" s="212" t="s">
        <v>145</v>
      </c>
      <c r="DE17" s="209">
        <f t="shared" si="13"/>
        <v>0</v>
      </c>
      <c r="DF17" s="209" t="s">
        <v>146</v>
      </c>
      <c r="DG17" s="212" t="s">
        <v>145</v>
      </c>
      <c r="DH17" s="209">
        <v>6.2578</v>
      </c>
      <c r="DI17" s="211" t="s">
        <v>146</v>
      </c>
      <c r="DJ17" s="650">
        <f>DJ13+1</f>
        <v>22</v>
      </c>
      <c r="DK17" s="199"/>
    </row>
    <row r="18" spans="1:115" s="197" customFormat="1" ht="15.75" customHeight="1">
      <c r="A18" s="580"/>
      <c r="B18" s="611"/>
      <c r="C18" s="254"/>
      <c r="D18" s="254">
        <f t="shared" si="15"/>
        <v>0</v>
      </c>
      <c r="E18" s="254"/>
      <c r="F18" s="431"/>
      <c r="G18" s="263"/>
      <c r="H18" s="263"/>
      <c r="I18" s="431"/>
      <c r="J18" s="263"/>
      <c r="K18" s="263"/>
      <c r="L18" s="431"/>
      <c r="M18" s="254">
        <f t="shared" si="16"/>
        <v>0</v>
      </c>
      <c r="N18" s="263"/>
      <c r="O18" s="255"/>
      <c r="P18" s="254"/>
      <c r="Q18" s="254"/>
      <c r="R18" s="264"/>
      <c r="S18" s="254">
        <f t="shared" si="17"/>
        <v>0</v>
      </c>
      <c r="T18" s="254"/>
      <c r="U18" s="255"/>
      <c r="V18" s="254"/>
      <c r="W18" s="254"/>
      <c r="X18" s="255"/>
      <c r="Y18" s="254"/>
      <c r="Z18" s="254"/>
      <c r="AA18" s="255"/>
      <c r="AB18" s="254">
        <f t="shared" si="18"/>
        <v>0</v>
      </c>
      <c r="AC18" s="254"/>
      <c r="AD18" s="255"/>
      <c r="AE18" s="254"/>
      <c r="AF18" s="265"/>
      <c r="AG18" s="209"/>
      <c r="AH18" s="209"/>
      <c r="AI18" s="264"/>
      <c r="AJ18" s="254">
        <f t="shared" si="14"/>
        <v>40.0509</v>
      </c>
      <c r="AK18" s="254"/>
      <c r="AL18" s="255"/>
      <c r="AM18" s="254"/>
      <c r="AN18" s="254"/>
      <c r="AO18" s="255"/>
      <c r="AP18" s="254"/>
      <c r="AQ18" s="254"/>
      <c r="AR18" s="255"/>
      <c r="AS18" s="254">
        <f t="shared" si="19"/>
        <v>0</v>
      </c>
      <c r="AT18" s="254"/>
      <c r="AU18" s="255"/>
      <c r="AV18" s="254">
        <v>40.0509</v>
      </c>
      <c r="AW18" s="265"/>
      <c r="AX18" s="264"/>
      <c r="AY18" s="254">
        <f t="shared" si="20"/>
        <v>0</v>
      </c>
      <c r="AZ18" s="254"/>
      <c r="BA18" s="255"/>
      <c r="BB18" s="254"/>
      <c r="BC18" s="254"/>
      <c r="BD18" s="255"/>
      <c r="BE18" s="254"/>
      <c r="BF18" s="254"/>
      <c r="BG18" s="255"/>
      <c r="BH18" s="254">
        <f t="shared" si="21"/>
        <v>0</v>
      </c>
      <c r="BI18" s="254"/>
      <c r="BJ18" s="255"/>
      <c r="BK18" s="254"/>
      <c r="BL18" s="254"/>
      <c r="BM18" s="653"/>
      <c r="BN18" s="580"/>
      <c r="BO18" s="611"/>
      <c r="BP18" s="254"/>
      <c r="BQ18" s="254">
        <f t="shared" si="8"/>
        <v>0</v>
      </c>
      <c r="BR18" s="254"/>
      <c r="BS18" s="255"/>
      <c r="BT18" s="254"/>
      <c r="BU18" s="254"/>
      <c r="BV18" s="255"/>
      <c r="BW18" s="254"/>
      <c r="BX18" s="254"/>
      <c r="BY18" s="255"/>
      <c r="BZ18" s="254">
        <f t="shared" si="9"/>
        <v>0</v>
      </c>
      <c r="CA18" s="254"/>
      <c r="CB18" s="255"/>
      <c r="CC18" s="254"/>
      <c r="CD18" s="254"/>
      <c r="CE18" s="264"/>
      <c r="CF18" s="254">
        <f t="shared" si="10"/>
        <v>0</v>
      </c>
      <c r="CG18" s="254"/>
      <c r="CH18" s="255"/>
      <c r="CI18" s="254"/>
      <c r="CJ18" s="254"/>
      <c r="CK18" s="255"/>
      <c r="CL18" s="254"/>
      <c r="CM18" s="254"/>
      <c r="CN18" s="255"/>
      <c r="CO18" s="254">
        <f t="shared" si="11"/>
        <v>0</v>
      </c>
      <c r="CP18" s="254"/>
      <c r="CQ18" s="255"/>
      <c r="CR18" s="254"/>
      <c r="CS18" s="265"/>
      <c r="CT18" s="209"/>
      <c r="CU18" s="264"/>
      <c r="CV18" s="254">
        <f t="shared" si="12"/>
        <v>6.13</v>
      </c>
      <c r="CW18" s="254"/>
      <c r="CX18" s="255"/>
      <c r="CY18" s="254"/>
      <c r="CZ18" s="254"/>
      <c r="DA18" s="255"/>
      <c r="DB18" s="254">
        <v>1.3071</v>
      </c>
      <c r="DC18" s="254"/>
      <c r="DD18" s="255"/>
      <c r="DE18" s="254">
        <f t="shared" si="13"/>
        <v>1.3071</v>
      </c>
      <c r="DF18" s="254"/>
      <c r="DG18" s="255"/>
      <c r="DH18" s="254">
        <v>4.8229</v>
      </c>
      <c r="DI18" s="265"/>
      <c r="DJ18" s="656"/>
      <c r="DK18" s="199"/>
    </row>
    <row r="19" spans="1:115" s="197" customFormat="1" ht="15.75" customHeight="1">
      <c r="A19" s="579">
        <f>A17+1</f>
        <v>23</v>
      </c>
      <c r="B19" s="578" t="s">
        <v>174</v>
      </c>
      <c r="C19" s="258" t="s">
        <v>145</v>
      </c>
      <c r="D19" s="209">
        <f t="shared" si="15"/>
        <v>0</v>
      </c>
      <c r="E19" s="258" t="s">
        <v>146</v>
      </c>
      <c r="F19" s="430" t="s">
        <v>145</v>
      </c>
      <c r="G19" s="260"/>
      <c r="H19" s="260" t="s">
        <v>146</v>
      </c>
      <c r="I19" s="430" t="s">
        <v>145</v>
      </c>
      <c r="J19" s="260"/>
      <c r="K19" s="260" t="s">
        <v>146</v>
      </c>
      <c r="L19" s="430" t="s">
        <v>145</v>
      </c>
      <c r="M19" s="209">
        <f t="shared" si="16"/>
        <v>0</v>
      </c>
      <c r="N19" s="260" t="s">
        <v>146</v>
      </c>
      <c r="O19" s="259" t="s">
        <v>145</v>
      </c>
      <c r="P19" s="258"/>
      <c r="Q19" s="258" t="s">
        <v>146</v>
      </c>
      <c r="R19" s="261" t="s">
        <v>145</v>
      </c>
      <c r="S19" s="209">
        <f t="shared" si="17"/>
        <v>0</v>
      </c>
      <c r="T19" s="258" t="s">
        <v>146</v>
      </c>
      <c r="U19" s="259" t="s">
        <v>145</v>
      </c>
      <c r="V19" s="258"/>
      <c r="W19" s="258" t="s">
        <v>146</v>
      </c>
      <c r="X19" s="259" t="s">
        <v>145</v>
      </c>
      <c r="Y19" s="258"/>
      <c r="Z19" s="258" t="s">
        <v>146</v>
      </c>
      <c r="AA19" s="259" t="s">
        <v>145</v>
      </c>
      <c r="AB19" s="209">
        <f t="shared" si="18"/>
        <v>0</v>
      </c>
      <c r="AC19" s="258" t="s">
        <v>146</v>
      </c>
      <c r="AD19" s="259" t="s">
        <v>145</v>
      </c>
      <c r="AE19" s="258"/>
      <c r="AF19" s="262" t="s">
        <v>146</v>
      </c>
      <c r="AG19" s="209"/>
      <c r="AH19" s="209"/>
      <c r="AI19" s="261" t="s">
        <v>145</v>
      </c>
      <c r="AJ19" s="209">
        <f t="shared" si="14"/>
        <v>0</v>
      </c>
      <c r="AK19" s="258" t="s">
        <v>146</v>
      </c>
      <c r="AL19" s="259" t="s">
        <v>145</v>
      </c>
      <c r="AM19" s="258"/>
      <c r="AN19" s="258" t="s">
        <v>146</v>
      </c>
      <c r="AO19" s="259" t="s">
        <v>145</v>
      </c>
      <c r="AP19" s="258"/>
      <c r="AQ19" s="258" t="s">
        <v>146</v>
      </c>
      <c r="AR19" s="259" t="s">
        <v>145</v>
      </c>
      <c r="AS19" s="209">
        <f t="shared" si="19"/>
        <v>0</v>
      </c>
      <c r="AT19" s="258" t="s">
        <v>146</v>
      </c>
      <c r="AU19" s="259" t="s">
        <v>145</v>
      </c>
      <c r="AV19" s="258"/>
      <c r="AW19" s="262" t="s">
        <v>146</v>
      </c>
      <c r="AX19" s="261" t="s">
        <v>145</v>
      </c>
      <c r="AY19" s="209">
        <f t="shared" si="20"/>
        <v>0</v>
      </c>
      <c r="AZ19" s="258" t="s">
        <v>146</v>
      </c>
      <c r="BA19" s="259" t="s">
        <v>145</v>
      </c>
      <c r="BB19" s="258"/>
      <c r="BC19" s="258" t="s">
        <v>146</v>
      </c>
      <c r="BD19" s="259" t="s">
        <v>145</v>
      </c>
      <c r="BE19" s="258"/>
      <c r="BF19" s="258" t="s">
        <v>146</v>
      </c>
      <c r="BG19" s="259" t="s">
        <v>145</v>
      </c>
      <c r="BH19" s="209">
        <f t="shared" si="21"/>
        <v>0</v>
      </c>
      <c r="BI19" s="258" t="s">
        <v>146</v>
      </c>
      <c r="BJ19" s="259" t="s">
        <v>145</v>
      </c>
      <c r="BK19" s="258"/>
      <c r="BL19" s="258" t="s">
        <v>146</v>
      </c>
      <c r="BM19" s="644">
        <v>21</v>
      </c>
      <c r="BN19" s="579">
        <v>21</v>
      </c>
      <c r="BO19" s="578" t="s">
        <v>174</v>
      </c>
      <c r="BP19" s="258" t="s">
        <v>145</v>
      </c>
      <c r="BQ19" s="209">
        <f t="shared" si="8"/>
        <v>0</v>
      </c>
      <c r="BR19" s="258" t="s">
        <v>146</v>
      </c>
      <c r="BS19" s="259" t="s">
        <v>145</v>
      </c>
      <c r="BT19" s="258"/>
      <c r="BU19" s="258" t="s">
        <v>146</v>
      </c>
      <c r="BV19" s="259" t="s">
        <v>145</v>
      </c>
      <c r="BW19" s="258"/>
      <c r="BX19" s="258" t="s">
        <v>146</v>
      </c>
      <c r="BY19" s="259" t="s">
        <v>145</v>
      </c>
      <c r="BZ19" s="209">
        <f t="shared" si="9"/>
        <v>0</v>
      </c>
      <c r="CA19" s="258" t="s">
        <v>146</v>
      </c>
      <c r="CB19" s="259" t="s">
        <v>145</v>
      </c>
      <c r="CC19" s="258"/>
      <c r="CD19" s="258" t="s">
        <v>146</v>
      </c>
      <c r="CE19" s="261" t="s">
        <v>145</v>
      </c>
      <c r="CF19" s="209">
        <f t="shared" si="10"/>
        <v>13.1913</v>
      </c>
      <c r="CG19" s="258" t="s">
        <v>146</v>
      </c>
      <c r="CH19" s="259" t="s">
        <v>145</v>
      </c>
      <c r="CI19" s="258"/>
      <c r="CJ19" s="258" t="s">
        <v>146</v>
      </c>
      <c r="CK19" s="259" t="s">
        <v>145</v>
      </c>
      <c r="CL19" s="313">
        <v>0.0411</v>
      </c>
      <c r="CM19" s="258" t="s">
        <v>146</v>
      </c>
      <c r="CN19" s="259" t="s">
        <v>145</v>
      </c>
      <c r="CO19" s="209">
        <f t="shared" si="11"/>
        <v>0.0411</v>
      </c>
      <c r="CP19" s="258" t="s">
        <v>146</v>
      </c>
      <c r="CQ19" s="259" t="s">
        <v>145</v>
      </c>
      <c r="CR19" s="258">
        <v>13.1502</v>
      </c>
      <c r="CS19" s="262" t="s">
        <v>146</v>
      </c>
      <c r="CT19" s="209"/>
      <c r="CU19" s="261" t="s">
        <v>145</v>
      </c>
      <c r="CV19" s="209">
        <f t="shared" si="12"/>
        <v>0</v>
      </c>
      <c r="CW19" s="258" t="s">
        <v>146</v>
      </c>
      <c r="CX19" s="259" t="s">
        <v>145</v>
      </c>
      <c r="CY19" s="258"/>
      <c r="CZ19" s="258" t="s">
        <v>146</v>
      </c>
      <c r="DA19" s="259" t="s">
        <v>145</v>
      </c>
      <c r="DB19" s="258"/>
      <c r="DC19" s="258" t="s">
        <v>146</v>
      </c>
      <c r="DD19" s="259" t="s">
        <v>145</v>
      </c>
      <c r="DE19" s="209">
        <f t="shared" si="13"/>
        <v>0</v>
      </c>
      <c r="DF19" s="258" t="s">
        <v>146</v>
      </c>
      <c r="DG19" s="259" t="s">
        <v>145</v>
      </c>
      <c r="DH19" s="258"/>
      <c r="DI19" s="262" t="s">
        <v>146</v>
      </c>
      <c r="DJ19" s="655">
        <f>DJ17+1</f>
        <v>23</v>
      </c>
      <c r="DK19" s="199"/>
    </row>
    <row r="20" spans="1:115" s="197" customFormat="1" ht="15.75" customHeight="1">
      <c r="A20" s="580"/>
      <c r="B20" s="611"/>
      <c r="C20" s="254"/>
      <c r="D20" s="254">
        <f t="shared" si="15"/>
        <v>22.5446</v>
      </c>
      <c r="E20" s="254"/>
      <c r="F20" s="431"/>
      <c r="G20" s="263"/>
      <c r="H20" s="263"/>
      <c r="I20" s="431"/>
      <c r="J20" s="318">
        <f>0.0291</f>
        <v>0.0291</v>
      </c>
      <c r="K20" s="263"/>
      <c r="L20" s="431"/>
      <c r="M20" s="254">
        <f t="shared" si="16"/>
        <v>0.0291</v>
      </c>
      <c r="N20" s="263"/>
      <c r="O20" s="255"/>
      <c r="P20" s="254">
        <v>22.5155</v>
      </c>
      <c r="Q20" s="254"/>
      <c r="R20" s="264"/>
      <c r="S20" s="254">
        <f t="shared" si="17"/>
        <v>0</v>
      </c>
      <c r="T20" s="254"/>
      <c r="U20" s="255"/>
      <c r="V20" s="254"/>
      <c r="W20" s="254"/>
      <c r="X20" s="255"/>
      <c r="Y20" s="254"/>
      <c r="Z20" s="254"/>
      <c r="AA20" s="255"/>
      <c r="AB20" s="254">
        <f t="shared" si="18"/>
        <v>0</v>
      </c>
      <c r="AC20" s="254"/>
      <c r="AD20" s="255"/>
      <c r="AE20" s="254"/>
      <c r="AF20" s="265"/>
      <c r="AG20" s="209"/>
      <c r="AH20" s="209"/>
      <c r="AI20" s="264"/>
      <c r="AJ20" s="254">
        <f t="shared" si="14"/>
        <v>0</v>
      </c>
      <c r="AK20" s="254"/>
      <c r="AL20" s="255"/>
      <c r="AM20" s="254"/>
      <c r="AN20" s="254"/>
      <c r="AO20" s="255"/>
      <c r="AP20" s="254"/>
      <c r="AQ20" s="254"/>
      <c r="AR20" s="255"/>
      <c r="AS20" s="254">
        <f t="shared" si="19"/>
        <v>0</v>
      </c>
      <c r="AT20" s="254"/>
      <c r="AU20" s="255"/>
      <c r="AV20" s="254"/>
      <c r="AW20" s="265"/>
      <c r="AX20" s="264"/>
      <c r="AY20" s="254">
        <f t="shared" si="20"/>
        <v>0</v>
      </c>
      <c r="AZ20" s="254"/>
      <c r="BA20" s="255"/>
      <c r="BB20" s="254"/>
      <c r="BC20" s="254"/>
      <c r="BD20" s="255"/>
      <c r="BE20" s="254"/>
      <c r="BF20" s="254"/>
      <c r="BG20" s="255"/>
      <c r="BH20" s="254">
        <f t="shared" si="21"/>
        <v>0</v>
      </c>
      <c r="BI20" s="254"/>
      <c r="BJ20" s="255"/>
      <c r="BK20" s="254"/>
      <c r="BL20" s="254"/>
      <c r="BM20" s="645"/>
      <c r="BN20" s="580"/>
      <c r="BO20" s="611"/>
      <c r="BP20" s="254"/>
      <c r="BQ20" s="254">
        <f t="shared" si="8"/>
        <v>0</v>
      </c>
      <c r="BR20" s="254"/>
      <c r="BS20" s="255"/>
      <c r="BT20" s="254"/>
      <c r="BU20" s="254"/>
      <c r="BV20" s="255"/>
      <c r="BW20" s="254"/>
      <c r="BX20" s="254"/>
      <c r="BY20" s="255"/>
      <c r="BZ20" s="254">
        <f t="shared" si="9"/>
        <v>0</v>
      </c>
      <c r="CA20" s="254"/>
      <c r="CB20" s="255"/>
      <c r="CC20" s="254"/>
      <c r="CD20" s="254"/>
      <c r="CE20" s="264"/>
      <c r="CF20" s="254">
        <f t="shared" si="10"/>
        <v>0</v>
      </c>
      <c r="CG20" s="254"/>
      <c r="CH20" s="255"/>
      <c r="CI20" s="254"/>
      <c r="CJ20" s="254"/>
      <c r="CK20" s="255"/>
      <c r="CL20" s="254"/>
      <c r="CM20" s="254"/>
      <c r="CN20" s="255"/>
      <c r="CO20" s="254">
        <f t="shared" si="11"/>
        <v>0</v>
      </c>
      <c r="CP20" s="254"/>
      <c r="CQ20" s="255"/>
      <c r="CR20" s="254"/>
      <c r="CS20" s="265"/>
      <c r="CT20" s="209"/>
      <c r="CU20" s="264"/>
      <c r="CV20" s="254">
        <f t="shared" si="12"/>
        <v>0</v>
      </c>
      <c r="CW20" s="254"/>
      <c r="CX20" s="255"/>
      <c r="CY20" s="254"/>
      <c r="CZ20" s="254"/>
      <c r="DA20" s="255"/>
      <c r="DB20" s="254"/>
      <c r="DC20" s="254"/>
      <c r="DD20" s="255"/>
      <c r="DE20" s="254">
        <f t="shared" si="13"/>
        <v>0</v>
      </c>
      <c r="DF20" s="254"/>
      <c r="DG20" s="255"/>
      <c r="DH20" s="254"/>
      <c r="DI20" s="265"/>
      <c r="DJ20" s="656"/>
      <c r="DK20" s="199"/>
    </row>
    <row r="21" spans="1:115" s="197" customFormat="1" ht="15.75" customHeight="1">
      <c r="A21" s="579">
        <f>A19+1</f>
        <v>24</v>
      </c>
      <c r="B21" s="578" t="s">
        <v>175</v>
      </c>
      <c r="C21" s="209" t="s">
        <v>145</v>
      </c>
      <c r="D21" s="209">
        <f t="shared" si="15"/>
        <v>0</v>
      </c>
      <c r="E21" s="209" t="s">
        <v>146</v>
      </c>
      <c r="F21" s="427" t="s">
        <v>145</v>
      </c>
      <c r="G21" s="252"/>
      <c r="H21" s="252" t="s">
        <v>146</v>
      </c>
      <c r="I21" s="427" t="s">
        <v>145</v>
      </c>
      <c r="J21" s="252"/>
      <c r="K21" s="252" t="s">
        <v>146</v>
      </c>
      <c r="L21" s="427" t="s">
        <v>145</v>
      </c>
      <c r="M21" s="209">
        <f t="shared" si="16"/>
        <v>0</v>
      </c>
      <c r="N21" s="252" t="s">
        <v>146</v>
      </c>
      <c r="O21" s="212" t="s">
        <v>145</v>
      </c>
      <c r="P21" s="209"/>
      <c r="Q21" s="209" t="s">
        <v>146</v>
      </c>
      <c r="R21" s="208" t="s">
        <v>145</v>
      </c>
      <c r="S21" s="209">
        <f t="shared" si="17"/>
        <v>0</v>
      </c>
      <c r="T21" s="209" t="s">
        <v>146</v>
      </c>
      <c r="U21" s="212" t="s">
        <v>145</v>
      </c>
      <c r="V21" s="209"/>
      <c r="W21" s="209" t="s">
        <v>146</v>
      </c>
      <c r="X21" s="212" t="s">
        <v>145</v>
      </c>
      <c r="Y21" s="209"/>
      <c r="Z21" s="209" t="s">
        <v>146</v>
      </c>
      <c r="AA21" s="212" t="s">
        <v>145</v>
      </c>
      <c r="AB21" s="209">
        <f t="shared" si="18"/>
        <v>0</v>
      </c>
      <c r="AC21" s="209" t="s">
        <v>146</v>
      </c>
      <c r="AD21" s="212" t="s">
        <v>145</v>
      </c>
      <c r="AE21" s="209"/>
      <c r="AF21" s="211" t="s">
        <v>146</v>
      </c>
      <c r="AG21" s="209"/>
      <c r="AH21" s="209"/>
      <c r="AI21" s="208" t="s">
        <v>145</v>
      </c>
      <c r="AJ21" s="209">
        <f t="shared" si="14"/>
        <v>0</v>
      </c>
      <c r="AK21" s="209" t="s">
        <v>146</v>
      </c>
      <c r="AL21" s="212" t="s">
        <v>145</v>
      </c>
      <c r="AM21" s="209"/>
      <c r="AN21" s="209" t="s">
        <v>146</v>
      </c>
      <c r="AO21" s="212" t="s">
        <v>145</v>
      </c>
      <c r="AP21" s="209"/>
      <c r="AQ21" s="209" t="s">
        <v>146</v>
      </c>
      <c r="AR21" s="212" t="s">
        <v>145</v>
      </c>
      <c r="AS21" s="209">
        <f t="shared" si="19"/>
        <v>0</v>
      </c>
      <c r="AT21" s="209" t="s">
        <v>146</v>
      </c>
      <c r="AU21" s="212" t="s">
        <v>145</v>
      </c>
      <c r="AV21" s="209"/>
      <c r="AW21" s="211" t="s">
        <v>146</v>
      </c>
      <c r="AX21" s="208" t="s">
        <v>145</v>
      </c>
      <c r="AY21" s="209">
        <f t="shared" si="20"/>
        <v>0</v>
      </c>
      <c r="AZ21" s="209" t="s">
        <v>146</v>
      </c>
      <c r="BA21" s="212" t="s">
        <v>145</v>
      </c>
      <c r="BB21" s="209"/>
      <c r="BC21" s="209" t="s">
        <v>146</v>
      </c>
      <c r="BD21" s="212" t="s">
        <v>145</v>
      </c>
      <c r="BE21" s="209"/>
      <c r="BF21" s="209" t="s">
        <v>146</v>
      </c>
      <c r="BG21" s="212" t="s">
        <v>145</v>
      </c>
      <c r="BH21" s="209">
        <f t="shared" si="21"/>
        <v>0</v>
      </c>
      <c r="BI21" s="209" t="s">
        <v>146</v>
      </c>
      <c r="BJ21" s="212" t="s">
        <v>145</v>
      </c>
      <c r="BK21" s="209"/>
      <c r="BL21" s="209" t="s">
        <v>146</v>
      </c>
      <c r="BM21" s="653">
        <v>24</v>
      </c>
      <c r="BN21" s="579">
        <v>24</v>
      </c>
      <c r="BO21" s="578" t="s">
        <v>175</v>
      </c>
      <c r="BP21" s="209" t="s">
        <v>145</v>
      </c>
      <c r="BQ21" s="209">
        <f t="shared" si="8"/>
        <v>0</v>
      </c>
      <c r="BR21" s="209" t="s">
        <v>146</v>
      </c>
      <c r="BS21" s="212" t="s">
        <v>145</v>
      </c>
      <c r="BT21" s="209"/>
      <c r="BU21" s="209" t="s">
        <v>146</v>
      </c>
      <c r="BV21" s="212" t="s">
        <v>145</v>
      </c>
      <c r="BW21" s="209"/>
      <c r="BX21" s="209" t="s">
        <v>146</v>
      </c>
      <c r="BY21" s="212" t="s">
        <v>145</v>
      </c>
      <c r="BZ21" s="209">
        <f t="shared" si="9"/>
        <v>0</v>
      </c>
      <c r="CA21" s="209" t="s">
        <v>146</v>
      </c>
      <c r="CB21" s="212" t="s">
        <v>145</v>
      </c>
      <c r="CC21" s="209"/>
      <c r="CD21" s="209" t="s">
        <v>146</v>
      </c>
      <c r="CE21" s="208" t="s">
        <v>145</v>
      </c>
      <c r="CF21" s="209">
        <f t="shared" si="10"/>
        <v>0</v>
      </c>
      <c r="CG21" s="209" t="s">
        <v>146</v>
      </c>
      <c r="CH21" s="212" t="s">
        <v>145</v>
      </c>
      <c r="CI21" s="209"/>
      <c r="CJ21" s="209" t="s">
        <v>146</v>
      </c>
      <c r="CK21" s="212" t="s">
        <v>145</v>
      </c>
      <c r="CL21" s="209"/>
      <c r="CM21" s="209" t="s">
        <v>146</v>
      </c>
      <c r="CN21" s="212" t="s">
        <v>145</v>
      </c>
      <c r="CO21" s="209">
        <f t="shared" si="11"/>
        <v>0</v>
      </c>
      <c r="CP21" s="209" t="s">
        <v>146</v>
      </c>
      <c r="CQ21" s="212" t="s">
        <v>145</v>
      </c>
      <c r="CR21" s="209"/>
      <c r="CS21" s="211" t="s">
        <v>146</v>
      </c>
      <c r="CT21" s="209"/>
      <c r="CU21" s="208" t="s">
        <v>145</v>
      </c>
      <c r="CV21" s="209">
        <f t="shared" si="12"/>
        <v>0</v>
      </c>
      <c r="CW21" s="209" t="s">
        <v>146</v>
      </c>
      <c r="CX21" s="212" t="s">
        <v>145</v>
      </c>
      <c r="CY21" s="209"/>
      <c r="CZ21" s="209" t="s">
        <v>146</v>
      </c>
      <c r="DA21" s="212" t="s">
        <v>145</v>
      </c>
      <c r="DB21" s="209"/>
      <c r="DC21" s="209" t="s">
        <v>146</v>
      </c>
      <c r="DD21" s="212" t="s">
        <v>145</v>
      </c>
      <c r="DE21" s="209">
        <f t="shared" si="13"/>
        <v>0</v>
      </c>
      <c r="DF21" s="209" t="s">
        <v>146</v>
      </c>
      <c r="DG21" s="212" t="s">
        <v>145</v>
      </c>
      <c r="DH21" s="209"/>
      <c r="DI21" s="211" t="s">
        <v>146</v>
      </c>
      <c r="DJ21" s="655">
        <v>24</v>
      </c>
      <c r="DK21" s="199"/>
    </row>
    <row r="22" spans="1:115" s="197" customFormat="1" ht="15.75" customHeight="1">
      <c r="A22" s="580"/>
      <c r="B22" s="611"/>
      <c r="C22" s="209"/>
      <c r="D22" s="254">
        <f t="shared" si="15"/>
        <v>0</v>
      </c>
      <c r="E22" s="209"/>
      <c r="F22" s="427"/>
      <c r="G22" s="252"/>
      <c r="H22" s="252"/>
      <c r="I22" s="427"/>
      <c r="J22" s="252"/>
      <c r="K22" s="252"/>
      <c r="L22" s="427"/>
      <c r="M22" s="254">
        <f t="shared" si="16"/>
        <v>0</v>
      </c>
      <c r="N22" s="252"/>
      <c r="O22" s="212"/>
      <c r="P22" s="209"/>
      <c r="Q22" s="209"/>
      <c r="R22" s="208"/>
      <c r="S22" s="254">
        <f t="shared" si="17"/>
        <v>0</v>
      </c>
      <c r="T22" s="209"/>
      <c r="U22" s="212"/>
      <c r="V22" s="209"/>
      <c r="W22" s="209"/>
      <c r="X22" s="212"/>
      <c r="Y22" s="209"/>
      <c r="Z22" s="209"/>
      <c r="AA22" s="212"/>
      <c r="AB22" s="254">
        <f t="shared" si="18"/>
        <v>0</v>
      </c>
      <c r="AC22" s="209"/>
      <c r="AD22" s="212"/>
      <c r="AE22" s="209"/>
      <c r="AF22" s="211"/>
      <c r="AG22" s="209"/>
      <c r="AH22" s="209"/>
      <c r="AI22" s="208"/>
      <c r="AJ22" s="254">
        <f t="shared" si="14"/>
        <v>0</v>
      </c>
      <c r="AK22" s="209"/>
      <c r="AL22" s="212"/>
      <c r="AM22" s="209"/>
      <c r="AN22" s="209"/>
      <c r="AO22" s="212"/>
      <c r="AP22" s="209"/>
      <c r="AQ22" s="209"/>
      <c r="AR22" s="212"/>
      <c r="AS22" s="254">
        <f t="shared" si="19"/>
        <v>0</v>
      </c>
      <c r="AT22" s="209"/>
      <c r="AU22" s="212"/>
      <c r="AV22" s="209"/>
      <c r="AW22" s="211"/>
      <c r="AX22" s="208"/>
      <c r="AY22" s="254">
        <f t="shared" si="20"/>
        <v>0</v>
      </c>
      <c r="AZ22" s="209"/>
      <c r="BA22" s="212"/>
      <c r="BB22" s="209"/>
      <c r="BC22" s="209"/>
      <c r="BD22" s="212"/>
      <c r="BE22" s="209"/>
      <c r="BF22" s="209"/>
      <c r="BG22" s="212"/>
      <c r="BH22" s="254">
        <f t="shared" si="21"/>
        <v>0</v>
      </c>
      <c r="BI22" s="209"/>
      <c r="BJ22" s="212"/>
      <c r="BK22" s="209"/>
      <c r="BL22" s="209"/>
      <c r="BM22" s="653"/>
      <c r="BN22" s="580"/>
      <c r="BO22" s="611"/>
      <c r="BP22" s="209"/>
      <c r="BQ22" s="254">
        <f t="shared" si="8"/>
        <v>0</v>
      </c>
      <c r="BR22" s="209"/>
      <c r="BS22" s="212"/>
      <c r="BT22" s="209"/>
      <c r="BU22" s="209"/>
      <c r="BV22" s="212"/>
      <c r="BW22" s="209"/>
      <c r="BX22" s="209"/>
      <c r="BY22" s="212"/>
      <c r="BZ22" s="254">
        <f t="shared" si="9"/>
        <v>0</v>
      </c>
      <c r="CA22" s="209"/>
      <c r="CB22" s="212"/>
      <c r="CC22" s="209"/>
      <c r="CD22" s="209"/>
      <c r="CE22" s="208"/>
      <c r="CF22" s="254">
        <f t="shared" si="10"/>
        <v>0</v>
      </c>
      <c r="CG22" s="209"/>
      <c r="CH22" s="212"/>
      <c r="CI22" s="209"/>
      <c r="CJ22" s="209"/>
      <c r="CK22" s="212"/>
      <c r="CL22" s="209"/>
      <c r="CM22" s="209"/>
      <c r="CN22" s="212"/>
      <c r="CO22" s="254">
        <f t="shared" si="11"/>
        <v>0</v>
      </c>
      <c r="CP22" s="209"/>
      <c r="CQ22" s="212"/>
      <c r="CR22" s="209"/>
      <c r="CS22" s="211"/>
      <c r="CT22" s="209"/>
      <c r="CU22" s="208"/>
      <c r="CV22" s="254">
        <f t="shared" si="12"/>
        <v>0</v>
      </c>
      <c r="CW22" s="209"/>
      <c r="CX22" s="212"/>
      <c r="CY22" s="209"/>
      <c r="CZ22" s="209"/>
      <c r="DA22" s="212"/>
      <c r="DB22" s="209"/>
      <c r="DC22" s="209"/>
      <c r="DD22" s="212"/>
      <c r="DE22" s="254">
        <f t="shared" si="13"/>
        <v>0</v>
      </c>
      <c r="DF22" s="209"/>
      <c r="DG22" s="212"/>
      <c r="DH22" s="209"/>
      <c r="DI22" s="211"/>
      <c r="DJ22" s="656"/>
      <c r="DK22" s="199"/>
    </row>
    <row r="23" spans="1:115" s="197" customFormat="1" ht="15.75" customHeight="1">
      <c r="A23" s="579">
        <f>A21+1</f>
        <v>25</v>
      </c>
      <c r="B23" s="578" t="s">
        <v>176</v>
      </c>
      <c r="C23" s="258" t="s">
        <v>145</v>
      </c>
      <c r="D23" s="209">
        <f t="shared" si="15"/>
        <v>0</v>
      </c>
      <c r="E23" s="258" t="s">
        <v>146</v>
      </c>
      <c r="F23" s="430" t="s">
        <v>145</v>
      </c>
      <c r="G23" s="260"/>
      <c r="H23" s="260" t="s">
        <v>146</v>
      </c>
      <c r="I23" s="430" t="s">
        <v>145</v>
      </c>
      <c r="J23" s="260"/>
      <c r="K23" s="260" t="s">
        <v>146</v>
      </c>
      <c r="L23" s="430" t="s">
        <v>145</v>
      </c>
      <c r="M23" s="209">
        <f t="shared" si="16"/>
        <v>0</v>
      </c>
      <c r="N23" s="260" t="s">
        <v>146</v>
      </c>
      <c r="O23" s="259" t="s">
        <v>145</v>
      </c>
      <c r="P23" s="258"/>
      <c r="Q23" s="258" t="s">
        <v>146</v>
      </c>
      <c r="R23" s="261" t="s">
        <v>145</v>
      </c>
      <c r="S23" s="209">
        <f t="shared" si="17"/>
        <v>0</v>
      </c>
      <c r="T23" s="258" t="s">
        <v>146</v>
      </c>
      <c r="U23" s="259" t="s">
        <v>145</v>
      </c>
      <c r="V23" s="258"/>
      <c r="W23" s="258" t="s">
        <v>146</v>
      </c>
      <c r="X23" s="259" t="s">
        <v>145</v>
      </c>
      <c r="Y23" s="258"/>
      <c r="Z23" s="258" t="s">
        <v>146</v>
      </c>
      <c r="AA23" s="259" t="s">
        <v>145</v>
      </c>
      <c r="AB23" s="209">
        <f t="shared" si="18"/>
        <v>0</v>
      </c>
      <c r="AC23" s="258" t="s">
        <v>146</v>
      </c>
      <c r="AD23" s="259" t="s">
        <v>145</v>
      </c>
      <c r="AE23" s="258"/>
      <c r="AF23" s="262" t="s">
        <v>146</v>
      </c>
      <c r="AG23" s="209"/>
      <c r="AH23" s="209"/>
      <c r="AI23" s="261" t="s">
        <v>145</v>
      </c>
      <c r="AJ23" s="209">
        <f t="shared" si="14"/>
        <v>0</v>
      </c>
      <c r="AK23" s="258" t="s">
        <v>146</v>
      </c>
      <c r="AL23" s="259" t="s">
        <v>145</v>
      </c>
      <c r="AM23" s="258"/>
      <c r="AN23" s="258" t="s">
        <v>146</v>
      </c>
      <c r="AO23" s="259" t="s">
        <v>145</v>
      </c>
      <c r="AP23" s="258"/>
      <c r="AQ23" s="258" t="s">
        <v>146</v>
      </c>
      <c r="AR23" s="259" t="s">
        <v>145</v>
      </c>
      <c r="AS23" s="209">
        <f t="shared" si="19"/>
        <v>0</v>
      </c>
      <c r="AT23" s="258" t="s">
        <v>146</v>
      </c>
      <c r="AU23" s="259" t="s">
        <v>145</v>
      </c>
      <c r="AV23" s="258"/>
      <c r="AW23" s="262" t="s">
        <v>146</v>
      </c>
      <c r="AX23" s="261" t="s">
        <v>145</v>
      </c>
      <c r="AY23" s="209">
        <f t="shared" si="20"/>
        <v>0</v>
      </c>
      <c r="AZ23" s="258" t="s">
        <v>146</v>
      </c>
      <c r="BA23" s="259" t="s">
        <v>145</v>
      </c>
      <c r="BB23" s="258"/>
      <c r="BC23" s="258" t="s">
        <v>146</v>
      </c>
      <c r="BD23" s="259" t="s">
        <v>145</v>
      </c>
      <c r="BE23" s="258"/>
      <c r="BF23" s="258" t="s">
        <v>146</v>
      </c>
      <c r="BG23" s="259" t="s">
        <v>145</v>
      </c>
      <c r="BH23" s="209">
        <f t="shared" si="21"/>
        <v>0</v>
      </c>
      <c r="BI23" s="258" t="s">
        <v>146</v>
      </c>
      <c r="BJ23" s="259" t="s">
        <v>145</v>
      </c>
      <c r="BK23" s="258"/>
      <c r="BL23" s="258" t="s">
        <v>146</v>
      </c>
      <c r="BM23" s="644">
        <v>25</v>
      </c>
      <c r="BN23" s="579">
        <v>25</v>
      </c>
      <c r="BO23" s="578" t="s">
        <v>176</v>
      </c>
      <c r="BP23" s="258" t="s">
        <v>145</v>
      </c>
      <c r="BQ23" s="209">
        <f t="shared" si="8"/>
        <v>0</v>
      </c>
      <c r="BR23" s="258" t="s">
        <v>146</v>
      </c>
      <c r="BS23" s="259" t="s">
        <v>145</v>
      </c>
      <c r="BT23" s="258"/>
      <c r="BU23" s="258" t="s">
        <v>146</v>
      </c>
      <c r="BV23" s="259" t="s">
        <v>145</v>
      </c>
      <c r="BW23" s="258"/>
      <c r="BX23" s="258" t="s">
        <v>146</v>
      </c>
      <c r="BY23" s="259" t="s">
        <v>145</v>
      </c>
      <c r="BZ23" s="209">
        <f t="shared" si="9"/>
        <v>0</v>
      </c>
      <c r="CA23" s="258" t="s">
        <v>146</v>
      </c>
      <c r="CB23" s="259" t="s">
        <v>145</v>
      </c>
      <c r="CC23" s="258"/>
      <c r="CD23" s="258" t="s">
        <v>146</v>
      </c>
      <c r="CE23" s="261" t="s">
        <v>145</v>
      </c>
      <c r="CF23" s="209">
        <f t="shared" si="10"/>
        <v>0</v>
      </c>
      <c r="CG23" s="258" t="s">
        <v>146</v>
      </c>
      <c r="CH23" s="259" t="s">
        <v>145</v>
      </c>
      <c r="CI23" s="258"/>
      <c r="CJ23" s="258" t="s">
        <v>146</v>
      </c>
      <c r="CK23" s="259" t="s">
        <v>145</v>
      </c>
      <c r="CL23" s="258"/>
      <c r="CM23" s="258" t="s">
        <v>146</v>
      </c>
      <c r="CN23" s="259" t="s">
        <v>145</v>
      </c>
      <c r="CO23" s="209">
        <f t="shared" si="11"/>
        <v>0</v>
      </c>
      <c r="CP23" s="258" t="s">
        <v>146</v>
      </c>
      <c r="CQ23" s="259" t="s">
        <v>145</v>
      </c>
      <c r="CR23" s="258"/>
      <c r="CS23" s="262" t="s">
        <v>146</v>
      </c>
      <c r="CT23" s="209"/>
      <c r="CU23" s="261" t="s">
        <v>145</v>
      </c>
      <c r="CV23" s="209">
        <f t="shared" si="12"/>
        <v>0</v>
      </c>
      <c r="CW23" s="258" t="s">
        <v>146</v>
      </c>
      <c r="CX23" s="259" t="s">
        <v>145</v>
      </c>
      <c r="CY23" s="258"/>
      <c r="CZ23" s="258" t="s">
        <v>146</v>
      </c>
      <c r="DA23" s="259" t="s">
        <v>145</v>
      </c>
      <c r="DB23" s="258"/>
      <c r="DC23" s="258" t="s">
        <v>146</v>
      </c>
      <c r="DD23" s="259" t="s">
        <v>145</v>
      </c>
      <c r="DE23" s="209">
        <f t="shared" si="13"/>
        <v>0</v>
      </c>
      <c r="DF23" s="258" t="s">
        <v>146</v>
      </c>
      <c r="DG23" s="259" t="s">
        <v>145</v>
      </c>
      <c r="DH23" s="258"/>
      <c r="DI23" s="262" t="s">
        <v>146</v>
      </c>
      <c r="DJ23" s="655">
        <v>25</v>
      </c>
      <c r="DK23" s="199"/>
    </row>
    <row r="24" spans="1:115" s="197" customFormat="1" ht="15.75" customHeight="1">
      <c r="A24" s="580"/>
      <c r="B24" s="611"/>
      <c r="C24" s="254"/>
      <c r="D24" s="254">
        <f t="shared" si="15"/>
        <v>0</v>
      </c>
      <c r="E24" s="254"/>
      <c r="F24" s="431"/>
      <c r="G24" s="263"/>
      <c r="H24" s="263"/>
      <c r="I24" s="431"/>
      <c r="J24" s="263"/>
      <c r="K24" s="263"/>
      <c r="L24" s="431"/>
      <c r="M24" s="254">
        <f t="shared" si="16"/>
        <v>0</v>
      </c>
      <c r="N24" s="263"/>
      <c r="O24" s="255"/>
      <c r="P24" s="254"/>
      <c r="Q24" s="254"/>
      <c r="R24" s="264"/>
      <c r="S24" s="254">
        <f t="shared" si="17"/>
        <v>0</v>
      </c>
      <c r="T24" s="254"/>
      <c r="U24" s="255"/>
      <c r="V24" s="254"/>
      <c r="W24" s="254"/>
      <c r="X24" s="255"/>
      <c r="Y24" s="254"/>
      <c r="Z24" s="254"/>
      <c r="AA24" s="255"/>
      <c r="AB24" s="254">
        <f t="shared" si="18"/>
        <v>0</v>
      </c>
      <c r="AC24" s="254"/>
      <c r="AD24" s="255"/>
      <c r="AE24" s="254"/>
      <c r="AF24" s="265"/>
      <c r="AG24" s="209"/>
      <c r="AH24" s="209"/>
      <c r="AI24" s="264"/>
      <c r="AJ24" s="254">
        <f t="shared" si="14"/>
        <v>0</v>
      </c>
      <c r="AK24" s="254"/>
      <c r="AL24" s="255"/>
      <c r="AM24" s="254"/>
      <c r="AN24" s="254"/>
      <c r="AO24" s="255"/>
      <c r="AP24" s="254"/>
      <c r="AQ24" s="254"/>
      <c r="AR24" s="255"/>
      <c r="AS24" s="254">
        <f t="shared" si="19"/>
        <v>0</v>
      </c>
      <c r="AT24" s="254"/>
      <c r="AU24" s="255"/>
      <c r="AV24" s="254"/>
      <c r="AW24" s="265"/>
      <c r="AX24" s="264"/>
      <c r="AY24" s="254">
        <f t="shared" si="20"/>
        <v>0</v>
      </c>
      <c r="AZ24" s="254"/>
      <c r="BA24" s="255"/>
      <c r="BB24" s="254"/>
      <c r="BC24" s="254"/>
      <c r="BD24" s="255"/>
      <c r="BE24" s="254"/>
      <c r="BF24" s="254"/>
      <c r="BG24" s="255"/>
      <c r="BH24" s="254">
        <f t="shared" si="21"/>
        <v>0</v>
      </c>
      <c r="BI24" s="254"/>
      <c r="BJ24" s="255"/>
      <c r="BK24" s="254"/>
      <c r="BL24" s="254"/>
      <c r="BM24" s="645"/>
      <c r="BN24" s="580"/>
      <c r="BO24" s="611"/>
      <c r="BP24" s="254"/>
      <c r="BQ24" s="254">
        <f t="shared" si="8"/>
        <v>0</v>
      </c>
      <c r="BR24" s="254"/>
      <c r="BS24" s="255"/>
      <c r="BT24" s="254"/>
      <c r="BU24" s="254"/>
      <c r="BV24" s="255"/>
      <c r="BW24" s="254"/>
      <c r="BX24" s="254"/>
      <c r="BY24" s="255"/>
      <c r="BZ24" s="254">
        <f t="shared" si="9"/>
        <v>0</v>
      </c>
      <c r="CA24" s="254"/>
      <c r="CB24" s="255"/>
      <c r="CC24" s="254"/>
      <c r="CD24" s="254"/>
      <c r="CE24" s="264"/>
      <c r="CF24" s="254">
        <f t="shared" si="10"/>
        <v>0</v>
      </c>
      <c r="CG24" s="254"/>
      <c r="CH24" s="255"/>
      <c r="CI24" s="254"/>
      <c r="CJ24" s="254"/>
      <c r="CK24" s="255"/>
      <c r="CL24" s="254"/>
      <c r="CM24" s="254"/>
      <c r="CN24" s="255"/>
      <c r="CO24" s="254">
        <f t="shared" si="11"/>
        <v>0</v>
      </c>
      <c r="CP24" s="254"/>
      <c r="CQ24" s="255"/>
      <c r="CR24" s="254"/>
      <c r="CS24" s="265"/>
      <c r="CT24" s="209"/>
      <c r="CU24" s="264"/>
      <c r="CV24" s="254">
        <f t="shared" si="12"/>
        <v>0</v>
      </c>
      <c r="CW24" s="254"/>
      <c r="CX24" s="255"/>
      <c r="CY24" s="254"/>
      <c r="CZ24" s="254"/>
      <c r="DA24" s="255"/>
      <c r="DB24" s="254"/>
      <c r="DC24" s="254"/>
      <c r="DD24" s="255"/>
      <c r="DE24" s="254">
        <f t="shared" si="13"/>
        <v>0</v>
      </c>
      <c r="DF24" s="254"/>
      <c r="DG24" s="255"/>
      <c r="DH24" s="254"/>
      <c r="DI24" s="265"/>
      <c r="DJ24" s="656"/>
      <c r="DK24" s="199"/>
    </row>
    <row r="25" spans="1:115" s="197" customFormat="1" ht="15.75" customHeight="1">
      <c r="A25" s="579">
        <f>A23+1</f>
        <v>26</v>
      </c>
      <c r="B25" s="578" t="s">
        <v>177</v>
      </c>
      <c r="C25" s="209" t="s">
        <v>145</v>
      </c>
      <c r="D25" s="209">
        <f t="shared" si="15"/>
        <v>0</v>
      </c>
      <c r="E25" s="209" t="s">
        <v>146</v>
      </c>
      <c r="F25" s="427" t="s">
        <v>145</v>
      </c>
      <c r="G25" s="252"/>
      <c r="H25" s="252" t="s">
        <v>146</v>
      </c>
      <c r="I25" s="427" t="s">
        <v>145</v>
      </c>
      <c r="J25" s="252"/>
      <c r="K25" s="252" t="s">
        <v>146</v>
      </c>
      <c r="L25" s="427" t="s">
        <v>145</v>
      </c>
      <c r="M25" s="209">
        <f t="shared" si="16"/>
        <v>0</v>
      </c>
      <c r="N25" s="252" t="s">
        <v>146</v>
      </c>
      <c r="O25" s="212" t="s">
        <v>145</v>
      </c>
      <c r="P25" s="209"/>
      <c r="Q25" s="209" t="s">
        <v>146</v>
      </c>
      <c r="R25" s="208" t="s">
        <v>145</v>
      </c>
      <c r="S25" s="209">
        <f t="shared" si="17"/>
        <v>0</v>
      </c>
      <c r="T25" s="209" t="s">
        <v>146</v>
      </c>
      <c r="U25" s="212" t="s">
        <v>145</v>
      </c>
      <c r="V25" s="209"/>
      <c r="W25" s="209" t="s">
        <v>146</v>
      </c>
      <c r="X25" s="212" t="s">
        <v>145</v>
      </c>
      <c r="Y25" s="209"/>
      <c r="Z25" s="209" t="s">
        <v>146</v>
      </c>
      <c r="AA25" s="212" t="s">
        <v>145</v>
      </c>
      <c r="AB25" s="209">
        <f t="shared" si="18"/>
        <v>0</v>
      </c>
      <c r="AC25" s="209" t="s">
        <v>146</v>
      </c>
      <c r="AD25" s="212" t="s">
        <v>145</v>
      </c>
      <c r="AE25" s="209"/>
      <c r="AF25" s="211" t="s">
        <v>146</v>
      </c>
      <c r="AG25" s="209"/>
      <c r="AH25" s="209"/>
      <c r="AI25" s="208" t="s">
        <v>145</v>
      </c>
      <c r="AJ25" s="209">
        <f t="shared" si="14"/>
        <v>0</v>
      </c>
      <c r="AK25" s="209" t="s">
        <v>146</v>
      </c>
      <c r="AL25" s="212" t="s">
        <v>145</v>
      </c>
      <c r="AM25" s="209"/>
      <c r="AN25" s="209" t="s">
        <v>146</v>
      </c>
      <c r="AO25" s="212" t="s">
        <v>145</v>
      </c>
      <c r="AP25" s="209"/>
      <c r="AQ25" s="209" t="s">
        <v>146</v>
      </c>
      <c r="AR25" s="212" t="s">
        <v>145</v>
      </c>
      <c r="AS25" s="209">
        <f t="shared" si="19"/>
        <v>0</v>
      </c>
      <c r="AT25" s="209" t="s">
        <v>146</v>
      </c>
      <c r="AU25" s="212" t="s">
        <v>145</v>
      </c>
      <c r="AV25" s="209"/>
      <c r="AW25" s="211" t="s">
        <v>146</v>
      </c>
      <c r="AX25" s="208" t="s">
        <v>145</v>
      </c>
      <c r="AY25" s="209">
        <f t="shared" si="20"/>
        <v>0</v>
      </c>
      <c r="AZ25" s="209" t="s">
        <v>146</v>
      </c>
      <c r="BA25" s="212" t="s">
        <v>145</v>
      </c>
      <c r="BB25" s="209"/>
      <c r="BC25" s="209" t="s">
        <v>146</v>
      </c>
      <c r="BD25" s="212" t="s">
        <v>145</v>
      </c>
      <c r="BE25" s="209"/>
      <c r="BF25" s="209" t="s">
        <v>146</v>
      </c>
      <c r="BG25" s="212" t="s">
        <v>145</v>
      </c>
      <c r="BH25" s="209">
        <f t="shared" si="21"/>
        <v>0</v>
      </c>
      <c r="BI25" s="209" t="s">
        <v>146</v>
      </c>
      <c r="BJ25" s="212" t="s">
        <v>145</v>
      </c>
      <c r="BK25" s="209"/>
      <c r="BL25" s="209" t="s">
        <v>146</v>
      </c>
      <c r="BM25" s="653">
        <v>26</v>
      </c>
      <c r="BN25" s="579">
        <v>26</v>
      </c>
      <c r="BO25" s="578" t="s">
        <v>177</v>
      </c>
      <c r="BP25" s="209" t="s">
        <v>145</v>
      </c>
      <c r="BQ25" s="209">
        <f t="shared" si="8"/>
        <v>0</v>
      </c>
      <c r="BR25" s="209" t="s">
        <v>146</v>
      </c>
      <c r="BS25" s="212" t="s">
        <v>145</v>
      </c>
      <c r="BT25" s="209"/>
      <c r="BU25" s="209" t="s">
        <v>146</v>
      </c>
      <c r="BV25" s="212" t="s">
        <v>145</v>
      </c>
      <c r="BW25" s="209"/>
      <c r="BX25" s="209" t="s">
        <v>146</v>
      </c>
      <c r="BY25" s="212" t="s">
        <v>145</v>
      </c>
      <c r="BZ25" s="209">
        <f t="shared" si="9"/>
        <v>0</v>
      </c>
      <c r="CA25" s="209" t="s">
        <v>146</v>
      </c>
      <c r="CB25" s="212" t="s">
        <v>145</v>
      </c>
      <c r="CC25" s="209"/>
      <c r="CD25" s="209" t="s">
        <v>146</v>
      </c>
      <c r="CE25" s="208" t="s">
        <v>145</v>
      </c>
      <c r="CF25" s="209">
        <f t="shared" si="10"/>
        <v>0</v>
      </c>
      <c r="CG25" s="209" t="s">
        <v>146</v>
      </c>
      <c r="CH25" s="212" t="s">
        <v>145</v>
      </c>
      <c r="CI25" s="209"/>
      <c r="CJ25" s="209" t="s">
        <v>146</v>
      </c>
      <c r="CK25" s="212" t="s">
        <v>145</v>
      </c>
      <c r="CL25" s="209"/>
      <c r="CM25" s="209" t="s">
        <v>146</v>
      </c>
      <c r="CN25" s="212" t="s">
        <v>145</v>
      </c>
      <c r="CO25" s="209">
        <f t="shared" si="11"/>
        <v>0</v>
      </c>
      <c r="CP25" s="209" t="s">
        <v>146</v>
      </c>
      <c r="CQ25" s="212" t="s">
        <v>145</v>
      </c>
      <c r="CR25" s="209"/>
      <c r="CS25" s="211" t="s">
        <v>146</v>
      </c>
      <c r="CT25" s="209"/>
      <c r="CU25" s="208" t="s">
        <v>145</v>
      </c>
      <c r="CV25" s="209">
        <f t="shared" si="12"/>
        <v>0</v>
      </c>
      <c r="CW25" s="209" t="s">
        <v>146</v>
      </c>
      <c r="CX25" s="212" t="s">
        <v>145</v>
      </c>
      <c r="CY25" s="209"/>
      <c r="CZ25" s="209" t="s">
        <v>146</v>
      </c>
      <c r="DA25" s="212" t="s">
        <v>145</v>
      </c>
      <c r="DB25" s="209"/>
      <c r="DC25" s="209" t="s">
        <v>146</v>
      </c>
      <c r="DD25" s="212" t="s">
        <v>145</v>
      </c>
      <c r="DE25" s="209">
        <f t="shared" si="13"/>
        <v>0</v>
      </c>
      <c r="DF25" s="209" t="s">
        <v>146</v>
      </c>
      <c r="DG25" s="212" t="s">
        <v>145</v>
      </c>
      <c r="DH25" s="209"/>
      <c r="DI25" s="211" t="s">
        <v>146</v>
      </c>
      <c r="DJ25" s="655">
        <v>26</v>
      </c>
      <c r="DK25" s="199"/>
    </row>
    <row r="26" spans="1:115" s="197" customFormat="1" ht="15.75" customHeight="1">
      <c r="A26" s="580"/>
      <c r="B26" s="611"/>
      <c r="C26" s="209"/>
      <c r="D26" s="254">
        <f t="shared" si="15"/>
        <v>13.7825</v>
      </c>
      <c r="E26" s="209"/>
      <c r="F26" s="427"/>
      <c r="G26" s="252"/>
      <c r="H26" s="252"/>
      <c r="I26" s="427"/>
      <c r="J26" s="252"/>
      <c r="K26" s="252"/>
      <c r="L26" s="427"/>
      <c r="M26" s="254">
        <f t="shared" si="16"/>
        <v>0</v>
      </c>
      <c r="N26" s="252"/>
      <c r="O26" s="212"/>
      <c r="P26" s="209">
        <v>13.7825</v>
      </c>
      <c r="Q26" s="209"/>
      <c r="R26" s="208"/>
      <c r="S26" s="254">
        <f t="shared" si="17"/>
        <v>0</v>
      </c>
      <c r="T26" s="209"/>
      <c r="U26" s="212"/>
      <c r="V26" s="209"/>
      <c r="W26" s="209"/>
      <c r="X26" s="212"/>
      <c r="Y26" s="209"/>
      <c r="Z26" s="209"/>
      <c r="AA26" s="212"/>
      <c r="AB26" s="254">
        <f t="shared" si="18"/>
        <v>0</v>
      </c>
      <c r="AC26" s="209"/>
      <c r="AD26" s="212"/>
      <c r="AE26" s="209"/>
      <c r="AF26" s="211"/>
      <c r="AG26" s="209"/>
      <c r="AH26" s="209"/>
      <c r="AI26" s="208"/>
      <c r="AJ26" s="254">
        <f t="shared" si="14"/>
        <v>0</v>
      </c>
      <c r="AK26" s="209"/>
      <c r="AL26" s="212"/>
      <c r="AM26" s="209"/>
      <c r="AN26" s="209"/>
      <c r="AO26" s="212"/>
      <c r="AP26" s="209"/>
      <c r="AQ26" s="209"/>
      <c r="AR26" s="212"/>
      <c r="AS26" s="254">
        <f t="shared" si="19"/>
        <v>0</v>
      </c>
      <c r="AT26" s="209"/>
      <c r="AU26" s="212"/>
      <c r="AV26" s="209"/>
      <c r="AW26" s="211"/>
      <c r="AX26" s="208"/>
      <c r="AY26" s="254">
        <f t="shared" si="20"/>
        <v>0</v>
      </c>
      <c r="AZ26" s="209"/>
      <c r="BA26" s="212"/>
      <c r="BB26" s="209"/>
      <c r="BC26" s="209"/>
      <c r="BD26" s="212"/>
      <c r="BE26" s="209"/>
      <c r="BF26" s="209"/>
      <c r="BG26" s="212"/>
      <c r="BH26" s="254">
        <f t="shared" si="21"/>
        <v>0</v>
      </c>
      <c r="BI26" s="209"/>
      <c r="BJ26" s="212"/>
      <c r="BK26" s="209"/>
      <c r="BL26" s="209"/>
      <c r="BM26" s="653"/>
      <c r="BN26" s="580"/>
      <c r="BO26" s="611"/>
      <c r="BP26" s="209"/>
      <c r="BQ26" s="254">
        <f t="shared" si="8"/>
        <v>0</v>
      </c>
      <c r="BR26" s="209"/>
      <c r="BS26" s="212"/>
      <c r="BT26" s="209"/>
      <c r="BU26" s="209"/>
      <c r="BV26" s="212"/>
      <c r="BW26" s="209"/>
      <c r="BX26" s="209"/>
      <c r="BY26" s="212"/>
      <c r="BZ26" s="254">
        <f t="shared" si="9"/>
        <v>0</v>
      </c>
      <c r="CA26" s="209"/>
      <c r="CB26" s="212"/>
      <c r="CC26" s="209"/>
      <c r="CD26" s="209"/>
      <c r="CE26" s="208"/>
      <c r="CF26" s="254">
        <f t="shared" si="10"/>
        <v>0</v>
      </c>
      <c r="CG26" s="209"/>
      <c r="CH26" s="212"/>
      <c r="CI26" s="209"/>
      <c r="CJ26" s="209"/>
      <c r="CK26" s="212"/>
      <c r="CL26" s="209"/>
      <c r="CM26" s="209"/>
      <c r="CN26" s="212"/>
      <c r="CO26" s="254">
        <f t="shared" si="11"/>
        <v>0</v>
      </c>
      <c r="CP26" s="209"/>
      <c r="CQ26" s="212"/>
      <c r="CR26" s="209"/>
      <c r="CS26" s="211"/>
      <c r="CT26" s="209"/>
      <c r="CU26" s="208"/>
      <c r="CV26" s="254">
        <f t="shared" si="12"/>
        <v>0</v>
      </c>
      <c r="CW26" s="209"/>
      <c r="CX26" s="212"/>
      <c r="CY26" s="209"/>
      <c r="CZ26" s="209"/>
      <c r="DA26" s="212"/>
      <c r="DB26" s="209"/>
      <c r="DC26" s="209"/>
      <c r="DD26" s="212"/>
      <c r="DE26" s="254">
        <f t="shared" si="13"/>
        <v>0</v>
      </c>
      <c r="DF26" s="209"/>
      <c r="DG26" s="212"/>
      <c r="DH26" s="209"/>
      <c r="DI26" s="211"/>
      <c r="DJ26" s="656"/>
      <c r="DK26" s="199"/>
    </row>
    <row r="27" spans="1:115" s="197" customFormat="1" ht="15.75" customHeight="1">
      <c r="A27" s="579">
        <f>A25+1</f>
        <v>27</v>
      </c>
      <c r="B27" s="578" t="s">
        <v>178</v>
      </c>
      <c r="C27" s="258" t="s">
        <v>145</v>
      </c>
      <c r="D27" s="209">
        <f t="shared" si="15"/>
        <v>0</v>
      </c>
      <c r="E27" s="258" t="s">
        <v>146</v>
      </c>
      <c r="F27" s="430" t="s">
        <v>145</v>
      </c>
      <c r="G27" s="260"/>
      <c r="H27" s="260" t="s">
        <v>146</v>
      </c>
      <c r="I27" s="430" t="s">
        <v>145</v>
      </c>
      <c r="J27" s="260"/>
      <c r="K27" s="260" t="s">
        <v>146</v>
      </c>
      <c r="L27" s="430" t="s">
        <v>145</v>
      </c>
      <c r="M27" s="209">
        <f t="shared" si="16"/>
        <v>0</v>
      </c>
      <c r="N27" s="260" t="s">
        <v>146</v>
      </c>
      <c r="O27" s="259" t="s">
        <v>145</v>
      </c>
      <c r="P27" s="258"/>
      <c r="Q27" s="258" t="s">
        <v>146</v>
      </c>
      <c r="R27" s="261" t="s">
        <v>145</v>
      </c>
      <c r="S27" s="209">
        <f t="shared" si="17"/>
        <v>0</v>
      </c>
      <c r="T27" s="258" t="s">
        <v>146</v>
      </c>
      <c r="U27" s="259" t="s">
        <v>145</v>
      </c>
      <c r="V27" s="258"/>
      <c r="W27" s="258" t="s">
        <v>146</v>
      </c>
      <c r="X27" s="259" t="s">
        <v>145</v>
      </c>
      <c r="Y27" s="258"/>
      <c r="Z27" s="258" t="s">
        <v>146</v>
      </c>
      <c r="AA27" s="259" t="s">
        <v>145</v>
      </c>
      <c r="AB27" s="209">
        <f t="shared" si="18"/>
        <v>0</v>
      </c>
      <c r="AC27" s="258" t="s">
        <v>146</v>
      </c>
      <c r="AD27" s="259" t="s">
        <v>145</v>
      </c>
      <c r="AE27" s="258"/>
      <c r="AF27" s="262" t="s">
        <v>146</v>
      </c>
      <c r="AG27" s="209"/>
      <c r="AH27" s="209"/>
      <c r="AI27" s="261" t="s">
        <v>145</v>
      </c>
      <c r="AJ27" s="209">
        <f t="shared" si="14"/>
        <v>0</v>
      </c>
      <c r="AK27" s="258" t="s">
        <v>146</v>
      </c>
      <c r="AL27" s="259" t="s">
        <v>145</v>
      </c>
      <c r="AM27" s="258"/>
      <c r="AN27" s="258" t="s">
        <v>146</v>
      </c>
      <c r="AO27" s="259" t="s">
        <v>145</v>
      </c>
      <c r="AP27" s="258"/>
      <c r="AQ27" s="258" t="s">
        <v>146</v>
      </c>
      <c r="AR27" s="259" t="s">
        <v>145</v>
      </c>
      <c r="AS27" s="209">
        <f t="shared" si="19"/>
        <v>0</v>
      </c>
      <c r="AT27" s="258" t="s">
        <v>146</v>
      </c>
      <c r="AU27" s="259" t="s">
        <v>145</v>
      </c>
      <c r="AV27" s="258"/>
      <c r="AW27" s="262" t="s">
        <v>146</v>
      </c>
      <c r="AX27" s="261" t="s">
        <v>145</v>
      </c>
      <c r="AY27" s="209">
        <f t="shared" si="20"/>
        <v>0</v>
      </c>
      <c r="AZ27" s="258" t="s">
        <v>146</v>
      </c>
      <c r="BA27" s="259" t="s">
        <v>145</v>
      </c>
      <c r="BB27" s="258"/>
      <c r="BC27" s="258" t="s">
        <v>146</v>
      </c>
      <c r="BD27" s="259" t="s">
        <v>145</v>
      </c>
      <c r="BE27" s="258"/>
      <c r="BF27" s="258" t="s">
        <v>146</v>
      </c>
      <c r="BG27" s="259" t="s">
        <v>145</v>
      </c>
      <c r="BH27" s="209">
        <f t="shared" si="21"/>
        <v>0</v>
      </c>
      <c r="BI27" s="258" t="s">
        <v>146</v>
      </c>
      <c r="BJ27" s="259" t="s">
        <v>145</v>
      </c>
      <c r="BK27" s="258"/>
      <c r="BL27" s="258" t="s">
        <v>146</v>
      </c>
      <c r="BM27" s="644">
        <v>27</v>
      </c>
      <c r="BN27" s="579">
        <v>27</v>
      </c>
      <c r="BO27" s="578" t="s">
        <v>178</v>
      </c>
      <c r="BP27" s="258" t="s">
        <v>145</v>
      </c>
      <c r="BQ27" s="209">
        <f t="shared" si="8"/>
        <v>0</v>
      </c>
      <c r="BR27" s="258" t="s">
        <v>146</v>
      </c>
      <c r="BS27" s="259" t="s">
        <v>145</v>
      </c>
      <c r="BT27" s="258"/>
      <c r="BU27" s="258" t="s">
        <v>146</v>
      </c>
      <c r="BV27" s="259" t="s">
        <v>145</v>
      </c>
      <c r="BW27" s="258"/>
      <c r="BX27" s="258" t="s">
        <v>146</v>
      </c>
      <c r="BY27" s="259" t="s">
        <v>145</v>
      </c>
      <c r="BZ27" s="209">
        <f t="shared" si="9"/>
        <v>0</v>
      </c>
      <c r="CA27" s="258" t="s">
        <v>146</v>
      </c>
      <c r="CB27" s="259" t="s">
        <v>145</v>
      </c>
      <c r="CC27" s="258"/>
      <c r="CD27" s="258" t="s">
        <v>146</v>
      </c>
      <c r="CE27" s="261" t="s">
        <v>145</v>
      </c>
      <c r="CF27" s="209">
        <f t="shared" si="10"/>
        <v>0</v>
      </c>
      <c r="CG27" s="258" t="s">
        <v>146</v>
      </c>
      <c r="CH27" s="259" t="s">
        <v>145</v>
      </c>
      <c r="CI27" s="258"/>
      <c r="CJ27" s="258" t="s">
        <v>146</v>
      </c>
      <c r="CK27" s="259" t="s">
        <v>145</v>
      </c>
      <c r="CL27" s="258"/>
      <c r="CM27" s="258" t="s">
        <v>146</v>
      </c>
      <c r="CN27" s="259" t="s">
        <v>145</v>
      </c>
      <c r="CO27" s="209">
        <f t="shared" si="11"/>
        <v>0</v>
      </c>
      <c r="CP27" s="258" t="s">
        <v>146</v>
      </c>
      <c r="CQ27" s="259" t="s">
        <v>145</v>
      </c>
      <c r="CR27" s="258"/>
      <c r="CS27" s="262" t="s">
        <v>146</v>
      </c>
      <c r="CT27" s="209"/>
      <c r="CU27" s="261" t="s">
        <v>145</v>
      </c>
      <c r="CV27" s="209">
        <f t="shared" si="12"/>
        <v>0</v>
      </c>
      <c r="CW27" s="258" t="s">
        <v>146</v>
      </c>
      <c r="CX27" s="259" t="s">
        <v>145</v>
      </c>
      <c r="CY27" s="258"/>
      <c r="CZ27" s="258" t="s">
        <v>146</v>
      </c>
      <c r="DA27" s="259" t="s">
        <v>145</v>
      </c>
      <c r="DB27" s="258"/>
      <c r="DC27" s="258" t="s">
        <v>146</v>
      </c>
      <c r="DD27" s="259" t="s">
        <v>145</v>
      </c>
      <c r="DE27" s="209">
        <f t="shared" si="13"/>
        <v>0</v>
      </c>
      <c r="DF27" s="258" t="s">
        <v>146</v>
      </c>
      <c r="DG27" s="259" t="s">
        <v>145</v>
      </c>
      <c r="DH27" s="258"/>
      <c r="DI27" s="262" t="s">
        <v>146</v>
      </c>
      <c r="DJ27" s="655">
        <v>27</v>
      </c>
      <c r="DK27" s="199"/>
    </row>
    <row r="28" spans="1:115" s="197" customFormat="1" ht="15.75" customHeight="1">
      <c r="A28" s="580"/>
      <c r="B28" s="611"/>
      <c r="C28" s="254"/>
      <c r="D28" s="254">
        <f t="shared" si="15"/>
        <v>1.7046</v>
      </c>
      <c r="E28" s="254"/>
      <c r="F28" s="431"/>
      <c r="G28" s="263"/>
      <c r="H28" s="263"/>
      <c r="I28" s="431"/>
      <c r="J28" s="263"/>
      <c r="K28" s="263"/>
      <c r="L28" s="431"/>
      <c r="M28" s="254">
        <f t="shared" si="16"/>
        <v>0</v>
      </c>
      <c r="N28" s="263"/>
      <c r="O28" s="255"/>
      <c r="P28" s="254">
        <v>1.7046</v>
      </c>
      <c r="Q28" s="254"/>
      <c r="R28" s="264"/>
      <c r="S28" s="254">
        <f t="shared" si="17"/>
        <v>0</v>
      </c>
      <c r="T28" s="254"/>
      <c r="U28" s="255"/>
      <c r="V28" s="254"/>
      <c r="W28" s="254"/>
      <c r="X28" s="255"/>
      <c r="Y28" s="254"/>
      <c r="Z28" s="254"/>
      <c r="AA28" s="255"/>
      <c r="AB28" s="254">
        <f t="shared" si="18"/>
        <v>0</v>
      </c>
      <c r="AC28" s="254"/>
      <c r="AD28" s="255"/>
      <c r="AE28" s="254"/>
      <c r="AF28" s="265"/>
      <c r="AG28" s="209"/>
      <c r="AH28" s="209"/>
      <c r="AI28" s="264"/>
      <c r="AJ28" s="254">
        <f t="shared" si="14"/>
        <v>0</v>
      </c>
      <c r="AK28" s="254"/>
      <c r="AL28" s="255"/>
      <c r="AM28" s="254"/>
      <c r="AN28" s="254"/>
      <c r="AO28" s="255"/>
      <c r="AP28" s="254"/>
      <c r="AQ28" s="254"/>
      <c r="AR28" s="255"/>
      <c r="AS28" s="254">
        <f t="shared" si="19"/>
        <v>0</v>
      </c>
      <c r="AT28" s="254"/>
      <c r="AU28" s="255"/>
      <c r="AV28" s="254"/>
      <c r="AW28" s="265"/>
      <c r="AX28" s="264"/>
      <c r="AY28" s="254">
        <f t="shared" si="20"/>
        <v>0</v>
      </c>
      <c r="AZ28" s="254"/>
      <c r="BA28" s="255"/>
      <c r="BB28" s="254"/>
      <c r="BC28" s="254"/>
      <c r="BD28" s="255"/>
      <c r="BE28" s="254"/>
      <c r="BF28" s="254"/>
      <c r="BG28" s="255"/>
      <c r="BH28" s="254">
        <f t="shared" si="21"/>
        <v>0</v>
      </c>
      <c r="BI28" s="254"/>
      <c r="BJ28" s="255"/>
      <c r="BK28" s="254"/>
      <c r="BL28" s="254"/>
      <c r="BM28" s="645"/>
      <c r="BN28" s="580"/>
      <c r="BO28" s="611"/>
      <c r="BP28" s="254"/>
      <c r="BQ28" s="254">
        <f t="shared" si="8"/>
        <v>0</v>
      </c>
      <c r="BR28" s="254"/>
      <c r="BS28" s="255"/>
      <c r="BT28" s="254"/>
      <c r="BU28" s="254"/>
      <c r="BV28" s="255"/>
      <c r="BW28" s="254"/>
      <c r="BX28" s="254"/>
      <c r="BY28" s="255"/>
      <c r="BZ28" s="254">
        <f t="shared" si="9"/>
        <v>0</v>
      </c>
      <c r="CA28" s="254"/>
      <c r="CB28" s="255"/>
      <c r="CC28" s="254"/>
      <c r="CD28" s="254"/>
      <c r="CE28" s="264"/>
      <c r="CF28" s="254">
        <f t="shared" si="10"/>
        <v>0</v>
      </c>
      <c r="CG28" s="254"/>
      <c r="CH28" s="255"/>
      <c r="CI28" s="254"/>
      <c r="CJ28" s="254"/>
      <c r="CK28" s="255"/>
      <c r="CL28" s="254"/>
      <c r="CM28" s="254"/>
      <c r="CN28" s="255"/>
      <c r="CO28" s="254">
        <f t="shared" si="11"/>
        <v>0</v>
      </c>
      <c r="CP28" s="254"/>
      <c r="CQ28" s="255"/>
      <c r="CR28" s="254"/>
      <c r="CS28" s="265"/>
      <c r="CT28" s="209"/>
      <c r="CU28" s="264"/>
      <c r="CV28" s="254">
        <f t="shared" si="12"/>
        <v>0</v>
      </c>
      <c r="CW28" s="254"/>
      <c r="CX28" s="255"/>
      <c r="CY28" s="254"/>
      <c r="CZ28" s="254"/>
      <c r="DA28" s="255"/>
      <c r="DB28" s="254"/>
      <c r="DC28" s="254"/>
      <c r="DD28" s="255"/>
      <c r="DE28" s="254">
        <f t="shared" si="13"/>
        <v>0</v>
      </c>
      <c r="DF28" s="254"/>
      <c r="DG28" s="255"/>
      <c r="DH28" s="254"/>
      <c r="DI28" s="265"/>
      <c r="DJ28" s="656"/>
      <c r="DK28" s="199"/>
    </row>
    <row r="29" spans="1:115" s="197" customFormat="1" ht="15.75" customHeight="1">
      <c r="A29" s="579">
        <f>A27+1</f>
        <v>28</v>
      </c>
      <c r="B29" s="578" t="s">
        <v>179</v>
      </c>
      <c r="C29" s="209" t="s">
        <v>145</v>
      </c>
      <c r="D29" s="209">
        <f t="shared" si="15"/>
        <v>0</v>
      </c>
      <c r="E29" s="209" t="s">
        <v>146</v>
      </c>
      <c r="F29" s="427" t="s">
        <v>145</v>
      </c>
      <c r="G29" s="252"/>
      <c r="H29" s="252" t="s">
        <v>146</v>
      </c>
      <c r="I29" s="427" t="s">
        <v>145</v>
      </c>
      <c r="J29" s="252"/>
      <c r="K29" s="252" t="s">
        <v>146</v>
      </c>
      <c r="L29" s="427" t="s">
        <v>145</v>
      </c>
      <c r="M29" s="209">
        <f t="shared" si="16"/>
        <v>0</v>
      </c>
      <c r="N29" s="252" t="s">
        <v>146</v>
      </c>
      <c r="O29" s="212" t="s">
        <v>145</v>
      </c>
      <c r="P29" s="209"/>
      <c r="Q29" s="209" t="s">
        <v>146</v>
      </c>
      <c r="R29" s="208" t="s">
        <v>145</v>
      </c>
      <c r="S29" s="209">
        <f t="shared" si="17"/>
        <v>0</v>
      </c>
      <c r="T29" s="209" t="s">
        <v>146</v>
      </c>
      <c r="U29" s="212" t="s">
        <v>145</v>
      </c>
      <c r="V29" s="209"/>
      <c r="W29" s="209" t="s">
        <v>146</v>
      </c>
      <c r="X29" s="212" t="s">
        <v>145</v>
      </c>
      <c r="Y29" s="209"/>
      <c r="Z29" s="209" t="s">
        <v>146</v>
      </c>
      <c r="AA29" s="212" t="s">
        <v>145</v>
      </c>
      <c r="AB29" s="209">
        <f t="shared" si="18"/>
        <v>0</v>
      </c>
      <c r="AC29" s="209" t="s">
        <v>146</v>
      </c>
      <c r="AD29" s="212" t="s">
        <v>145</v>
      </c>
      <c r="AE29" s="209"/>
      <c r="AF29" s="211" t="s">
        <v>146</v>
      </c>
      <c r="AG29" s="209"/>
      <c r="AH29" s="209"/>
      <c r="AI29" s="208" t="s">
        <v>145</v>
      </c>
      <c r="AJ29" s="209">
        <f t="shared" si="14"/>
        <v>0</v>
      </c>
      <c r="AK29" s="209" t="s">
        <v>146</v>
      </c>
      <c r="AL29" s="212" t="s">
        <v>145</v>
      </c>
      <c r="AM29" s="209"/>
      <c r="AN29" s="209" t="s">
        <v>146</v>
      </c>
      <c r="AO29" s="212" t="s">
        <v>145</v>
      </c>
      <c r="AP29" s="209"/>
      <c r="AQ29" s="209" t="s">
        <v>146</v>
      </c>
      <c r="AR29" s="212" t="s">
        <v>145</v>
      </c>
      <c r="AS29" s="209">
        <f t="shared" si="19"/>
        <v>0</v>
      </c>
      <c r="AT29" s="209" t="s">
        <v>146</v>
      </c>
      <c r="AU29" s="212" t="s">
        <v>145</v>
      </c>
      <c r="AV29" s="209"/>
      <c r="AW29" s="211" t="s">
        <v>146</v>
      </c>
      <c r="AX29" s="208" t="s">
        <v>145</v>
      </c>
      <c r="AY29" s="209">
        <f t="shared" si="20"/>
        <v>0</v>
      </c>
      <c r="AZ29" s="209" t="s">
        <v>146</v>
      </c>
      <c r="BA29" s="212" t="s">
        <v>145</v>
      </c>
      <c r="BB29" s="209"/>
      <c r="BC29" s="209" t="s">
        <v>146</v>
      </c>
      <c r="BD29" s="212" t="s">
        <v>145</v>
      </c>
      <c r="BE29" s="209"/>
      <c r="BF29" s="209" t="s">
        <v>146</v>
      </c>
      <c r="BG29" s="212" t="s">
        <v>145</v>
      </c>
      <c r="BH29" s="209">
        <f t="shared" si="21"/>
        <v>0</v>
      </c>
      <c r="BI29" s="209" t="s">
        <v>146</v>
      </c>
      <c r="BJ29" s="212" t="s">
        <v>145</v>
      </c>
      <c r="BK29" s="209"/>
      <c r="BL29" s="209" t="s">
        <v>146</v>
      </c>
      <c r="BM29" s="653">
        <v>28</v>
      </c>
      <c r="BN29" s="579">
        <v>28</v>
      </c>
      <c r="BO29" s="578" t="s">
        <v>179</v>
      </c>
      <c r="BP29" s="209" t="s">
        <v>145</v>
      </c>
      <c r="BQ29" s="209">
        <f t="shared" si="8"/>
        <v>0</v>
      </c>
      <c r="BR29" s="209" t="s">
        <v>146</v>
      </c>
      <c r="BS29" s="212" t="s">
        <v>145</v>
      </c>
      <c r="BT29" s="209"/>
      <c r="BU29" s="209" t="s">
        <v>146</v>
      </c>
      <c r="BV29" s="212" t="s">
        <v>145</v>
      </c>
      <c r="BW29" s="209"/>
      <c r="BX29" s="209" t="s">
        <v>146</v>
      </c>
      <c r="BY29" s="212" t="s">
        <v>145</v>
      </c>
      <c r="BZ29" s="209">
        <f t="shared" si="9"/>
        <v>0</v>
      </c>
      <c r="CA29" s="209" t="s">
        <v>146</v>
      </c>
      <c r="CB29" s="212" t="s">
        <v>145</v>
      </c>
      <c r="CC29" s="209"/>
      <c r="CD29" s="209" t="s">
        <v>146</v>
      </c>
      <c r="CE29" s="208" t="s">
        <v>145</v>
      </c>
      <c r="CF29" s="209">
        <f t="shared" si="10"/>
        <v>0</v>
      </c>
      <c r="CG29" s="209" t="s">
        <v>146</v>
      </c>
      <c r="CH29" s="212" t="s">
        <v>145</v>
      </c>
      <c r="CI29" s="209"/>
      <c r="CJ29" s="209" t="s">
        <v>146</v>
      </c>
      <c r="CK29" s="212" t="s">
        <v>145</v>
      </c>
      <c r="CL29" s="209"/>
      <c r="CM29" s="209" t="s">
        <v>146</v>
      </c>
      <c r="CN29" s="212" t="s">
        <v>145</v>
      </c>
      <c r="CO29" s="209">
        <f t="shared" si="11"/>
        <v>0</v>
      </c>
      <c r="CP29" s="209" t="s">
        <v>146</v>
      </c>
      <c r="CQ29" s="212" t="s">
        <v>145</v>
      </c>
      <c r="CR29" s="209"/>
      <c r="CS29" s="211" t="s">
        <v>146</v>
      </c>
      <c r="CT29" s="209"/>
      <c r="CU29" s="208" t="s">
        <v>145</v>
      </c>
      <c r="CV29" s="209">
        <f t="shared" si="12"/>
        <v>0</v>
      </c>
      <c r="CW29" s="209" t="s">
        <v>146</v>
      </c>
      <c r="CX29" s="212" t="s">
        <v>145</v>
      </c>
      <c r="CY29" s="209"/>
      <c r="CZ29" s="209" t="s">
        <v>146</v>
      </c>
      <c r="DA29" s="212" t="s">
        <v>145</v>
      </c>
      <c r="DB29" s="209"/>
      <c r="DC29" s="209" t="s">
        <v>146</v>
      </c>
      <c r="DD29" s="212" t="s">
        <v>145</v>
      </c>
      <c r="DE29" s="209">
        <f t="shared" si="13"/>
        <v>0</v>
      </c>
      <c r="DF29" s="209" t="s">
        <v>146</v>
      </c>
      <c r="DG29" s="212" t="s">
        <v>145</v>
      </c>
      <c r="DH29" s="209"/>
      <c r="DI29" s="211" t="s">
        <v>146</v>
      </c>
      <c r="DJ29" s="655">
        <v>28</v>
      </c>
      <c r="DK29" s="199"/>
    </row>
    <row r="30" spans="1:115" s="197" customFormat="1" ht="15.75" customHeight="1" thickBot="1">
      <c r="A30" s="614"/>
      <c r="B30" s="615"/>
      <c r="C30" s="217"/>
      <c r="D30" s="217">
        <f t="shared" si="15"/>
        <v>3.5185</v>
      </c>
      <c r="E30" s="217"/>
      <c r="F30" s="432"/>
      <c r="G30" s="280"/>
      <c r="H30" s="280"/>
      <c r="I30" s="432"/>
      <c r="J30" s="280"/>
      <c r="K30" s="280"/>
      <c r="L30" s="432"/>
      <c r="M30" s="217">
        <f t="shared" si="16"/>
        <v>0</v>
      </c>
      <c r="N30" s="280"/>
      <c r="O30" s="218"/>
      <c r="P30" s="217">
        <v>3.5185</v>
      </c>
      <c r="Q30" s="217"/>
      <c r="R30" s="216"/>
      <c r="S30" s="209">
        <f t="shared" si="17"/>
        <v>0</v>
      </c>
      <c r="T30" s="217"/>
      <c r="U30" s="218"/>
      <c r="V30" s="217"/>
      <c r="W30" s="217"/>
      <c r="X30" s="218"/>
      <c r="Y30" s="217"/>
      <c r="Z30" s="217"/>
      <c r="AA30" s="218"/>
      <c r="AB30" s="217">
        <f t="shared" si="18"/>
        <v>0</v>
      </c>
      <c r="AC30" s="217"/>
      <c r="AD30" s="218"/>
      <c r="AE30" s="217"/>
      <c r="AF30" s="219"/>
      <c r="AG30" s="209"/>
      <c r="AH30" s="209"/>
      <c r="AI30" s="216"/>
      <c r="AJ30" s="209">
        <f t="shared" si="14"/>
        <v>0</v>
      </c>
      <c r="AK30" s="217"/>
      <c r="AL30" s="218"/>
      <c r="AM30" s="217"/>
      <c r="AN30" s="217"/>
      <c r="AO30" s="218"/>
      <c r="AP30" s="217"/>
      <c r="AQ30" s="217"/>
      <c r="AR30" s="218"/>
      <c r="AS30" s="217">
        <f t="shared" si="19"/>
        <v>0</v>
      </c>
      <c r="AT30" s="217"/>
      <c r="AU30" s="218"/>
      <c r="AV30" s="217"/>
      <c r="AW30" s="219"/>
      <c r="AX30" s="216"/>
      <c r="AY30" s="217">
        <f t="shared" si="20"/>
        <v>0</v>
      </c>
      <c r="AZ30" s="217"/>
      <c r="BA30" s="218"/>
      <c r="BB30" s="217"/>
      <c r="BC30" s="217"/>
      <c r="BD30" s="218"/>
      <c r="BE30" s="217"/>
      <c r="BF30" s="217"/>
      <c r="BG30" s="218"/>
      <c r="BH30" s="217">
        <f t="shared" si="21"/>
        <v>0</v>
      </c>
      <c r="BI30" s="217"/>
      <c r="BJ30" s="218"/>
      <c r="BK30" s="217"/>
      <c r="BL30" s="217"/>
      <c r="BM30" s="653"/>
      <c r="BN30" s="614"/>
      <c r="BO30" s="615"/>
      <c r="BP30" s="217"/>
      <c r="BQ30" s="217">
        <f t="shared" si="8"/>
        <v>0</v>
      </c>
      <c r="BR30" s="217"/>
      <c r="BS30" s="218"/>
      <c r="BT30" s="217"/>
      <c r="BU30" s="217"/>
      <c r="BV30" s="218"/>
      <c r="BW30" s="217"/>
      <c r="BX30" s="217"/>
      <c r="BY30" s="218"/>
      <c r="BZ30" s="217">
        <f t="shared" si="9"/>
        <v>0</v>
      </c>
      <c r="CA30" s="217"/>
      <c r="CB30" s="218"/>
      <c r="CC30" s="217"/>
      <c r="CD30" s="217"/>
      <c r="CE30" s="216"/>
      <c r="CF30" s="217">
        <f t="shared" si="10"/>
        <v>0</v>
      </c>
      <c r="CG30" s="217"/>
      <c r="CH30" s="218"/>
      <c r="CI30" s="217"/>
      <c r="CJ30" s="217"/>
      <c r="CK30" s="218"/>
      <c r="CL30" s="217"/>
      <c r="CM30" s="217"/>
      <c r="CN30" s="218"/>
      <c r="CO30" s="209">
        <f t="shared" si="11"/>
        <v>0</v>
      </c>
      <c r="CP30" s="217"/>
      <c r="CQ30" s="218"/>
      <c r="CR30" s="217"/>
      <c r="CS30" s="219"/>
      <c r="CT30" s="209"/>
      <c r="CU30" s="216"/>
      <c r="CV30" s="209">
        <f t="shared" si="12"/>
        <v>0</v>
      </c>
      <c r="CW30" s="217"/>
      <c r="CX30" s="218"/>
      <c r="CY30" s="217"/>
      <c r="CZ30" s="217"/>
      <c r="DA30" s="218"/>
      <c r="DB30" s="217"/>
      <c r="DC30" s="217"/>
      <c r="DD30" s="218"/>
      <c r="DE30" s="209">
        <f t="shared" si="13"/>
        <v>0</v>
      </c>
      <c r="DF30" s="217"/>
      <c r="DG30" s="218"/>
      <c r="DH30" s="217"/>
      <c r="DI30" s="219"/>
      <c r="DJ30" s="656"/>
      <c r="DK30" s="199"/>
    </row>
    <row r="31" spans="1:115" s="245" customFormat="1" ht="15.75" customHeight="1">
      <c r="A31" s="569" t="s">
        <v>180</v>
      </c>
      <c r="B31" s="581"/>
      <c r="C31" s="227" t="s">
        <v>325</v>
      </c>
      <c r="D31" s="230">
        <f>D33+D39+D49</f>
        <v>0</v>
      </c>
      <c r="E31" s="230" t="s">
        <v>326</v>
      </c>
      <c r="F31" s="232" t="s">
        <v>325</v>
      </c>
      <c r="G31" s="230">
        <f>G33+G39+G49</f>
        <v>0</v>
      </c>
      <c r="H31" s="231" t="s">
        <v>326</v>
      </c>
      <c r="I31" s="230" t="s">
        <v>325</v>
      </c>
      <c r="J31" s="230">
        <f>J33+J39+J49</f>
        <v>0</v>
      </c>
      <c r="K31" s="230" t="s">
        <v>326</v>
      </c>
      <c r="L31" s="232" t="s">
        <v>325</v>
      </c>
      <c r="M31" s="220">
        <f t="shared" si="16"/>
        <v>0</v>
      </c>
      <c r="N31" s="230" t="s">
        <v>326</v>
      </c>
      <c r="O31" s="233" t="s">
        <v>325</v>
      </c>
      <c r="P31" s="230">
        <f>P33+P39+P49</f>
        <v>0</v>
      </c>
      <c r="Q31" s="426" t="s">
        <v>326</v>
      </c>
      <c r="R31" s="227" t="s">
        <v>325</v>
      </c>
      <c r="S31" s="319">
        <f>S33+S39+S49</f>
        <v>0</v>
      </c>
      <c r="T31" s="230" t="s">
        <v>326</v>
      </c>
      <c r="U31" s="232" t="s">
        <v>325</v>
      </c>
      <c r="V31" s="319">
        <f>V33+V39+V49</f>
        <v>0</v>
      </c>
      <c r="W31" s="231" t="s">
        <v>326</v>
      </c>
      <c r="X31" s="230" t="s">
        <v>325</v>
      </c>
      <c r="Y31" s="319">
        <f>Y33+Y39+Y49</f>
        <v>0</v>
      </c>
      <c r="Z31" s="230" t="s">
        <v>326</v>
      </c>
      <c r="AA31" s="232" t="s">
        <v>325</v>
      </c>
      <c r="AB31" s="220">
        <f t="shared" si="18"/>
        <v>0</v>
      </c>
      <c r="AC31" s="230" t="s">
        <v>326</v>
      </c>
      <c r="AD31" s="233" t="s">
        <v>325</v>
      </c>
      <c r="AE31" s="319">
        <f>AE33+AE39+AE49</f>
        <v>0</v>
      </c>
      <c r="AF31" s="234" t="s">
        <v>326</v>
      </c>
      <c r="AG31" s="224"/>
      <c r="AH31" s="224"/>
      <c r="AI31" s="227" t="s">
        <v>325</v>
      </c>
      <c r="AJ31" s="230">
        <f>AJ33+AJ39+AJ49</f>
        <v>0</v>
      </c>
      <c r="AK31" s="230" t="s">
        <v>326</v>
      </c>
      <c r="AL31" s="232" t="s">
        <v>325</v>
      </c>
      <c r="AM31" s="230">
        <f>AM33+AM39+AM49</f>
        <v>0</v>
      </c>
      <c r="AN31" s="231" t="s">
        <v>326</v>
      </c>
      <c r="AO31" s="230" t="s">
        <v>325</v>
      </c>
      <c r="AP31" s="230">
        <f>AP33+AP39+AP49</f>
        <v>0</v>
      </c>
      <c r="AQ31" s="230" t="s">
        <v>326</v>
      </c>
      <c r="AR31" s="232" t="s">
        <v>325</v>
      </c>
      <c r="AS31" s="230">
        <f>AS33+AS39+AS49</f>
        <v>0</v>
      </c>
      <c r="AT31" s="230" t="s">
        <v>326</v>
      </c>
      <c r="AU31" s="233" t="s">
        <v>325</v>
      </c>
      <c r="AV31" s="230">
        <f>AV33+AV39+AV49</f>
        <v>0</v>
      </c>
      <c r="AW31" s="234" t="s">
        <v>326</v>
      </c>
      <c r="AX31" s="227" t="s">
        <v>325</v>
      </c>
      <c r="AY31" s="230">
        <f>AY33+AY39+AY49</f>
        <v>0</v>
      </c>
      <c r="AZ31" s="230" t="s">
        <v>326</v>
      </c>
      <c r="BA31" s="232" t="s">
        <v>325</v>
      </c>
      <c r="BB31" s="230">
        <f>BB33+BB39+BB49</f>
        <v>0</v>
      </c>
      <c r="BC31" s="231" t="s">
        <v>326</v>
      </c>
      <c r="BD31" s="230" t="s">
        <v>325</v>
      </c>
      <c r="BE31" s="230">
        <f>BE33+BE39+BE49</f>
        <v>0</v>
      </c>
      <c r="BF31" s="230" t="s">
        <v>326</v>
      </c>
      <c r="BG31" s="232" t="s">
        <v>325</v>
      </c>
      <c r="BH31" s="230">
        <f>BH33+BH39+BH49</f>
        <v>0</v>
      </c>
      <c r="BI31" s="230" t="s">
        <v>326</v>
      </c>
      <c r="BJ31" s="233" t="s">
        <v>325</v>
      </c>
      <c r="BK31" s="230">
        <f>BK33+BK39+BK49</f>
        <v>0</v>
      </c>
      <c r="BL31" s="426" t="s">
        <v>326</v>
      </c>
      <c r="BM31" s="235"/>
      <c r="BN31" s="569" t="s">
        <v>180</v>
      </c>
      <c r="BO31" s="581"/>
      <c r="BP31" s="227" t="s">
        <v>325</v>
      </c>
      <c r="BQ31" s="220">
        <f>BQ33+BQ39+BQ49</f>
        <v>0</v>
      </c>
      <c r="BR31" s="230" t="s">
        <v>326</v>
      </c>
      <c r="BS31" s="232" t="s">
        <v>325</v>
      </c>
      <c r="BT31" s="220">
        <f>BT33+BT39+BT49</f>
        <v>0</v>
      </c>
      <c r="BU31" s="231" t="s">
        <v>326</v>
      </c>
      <c r="BV31" s="230" t="s">
        <v>325</v>
      </c>
      <c r="BW31" s="220">
        <f>BW33+BW39+BW49</f>
        <v>0</v>
      </c>
      <c r="BX31" s="230" t="s">
        <v>326</v>
      </c>
      <c r="BY31" s="232" t="s">
        <v>325</v>
      </c>
      <c r="BZ31" s="220">
        <f t="shared" si="9"/>
        <v>0</v>
      </c>
      <c r="CA31" s="230" t="s">
        <v>326</v>
      </c>
      <c r="CB31" s="233" t="s">
        <v>325</v>
      </c>
      <c r="CC31" s="220">
        <f>CC33+CC39+CC49</f>
        <v>0</v>
      </c>
      <c r="CD31" s="426" t="s">
        <v>326</v>
      </c>
      <c r="CE31" s="227" t="s">
        <v>325</v>
      </c>
      <c r="CF31" s="220">
        <f>CF33+CF39+CF49</f>
        <v>2747.8700999999996</v>
      </c>
      <c r="CG31" s="230" t="s">
        <v>326</v>
      </c>
      <c r="CH31" s="232" t="s">
        <v>325</v>
      </c>
      <c r="CI31" s="220">
        <f>CI33+CI39+CI49</f>
        <v>440.5209</v>
      </c>
      <c r="CJ31" s="231" t="s">
        <v>326</v>
      </c>
      <c r="CK31" s="230" t="s">
        <v>325</v>
      </c>
      <c r="CL31" s="220">
        <f>CL33+CL39+CL49</f>
        <v>0.57</v>
      </c>
      <c r="CM31" s="230" t="s">
        <v>326</v>
      </c>
      <c r="CN31" s="232" t="s">
        <v>325</v>
      </c>
      <c r="CO31" s="230">
        <f>CO33+CO39+CO49</f>
        <v>441.09090000000003</v>
      </c>
      <c r="CP31" s="230" t="s">
        <v>326</v>
      </c>
      <c r="CQ31" s="233" t="s">
        <v>325</v>
      </c>
      <c r="CR31" s="220">
        <f>CR33+CR39+CR49</f>
        <v>2306.7792</v>
      </c>
      <c r="CS31" s="234" t="s">
        <v>326</v>
      </c>
      <c r="CT31" s="224"/>
      <c r="CU31" s="227" t="s">
        <v>325</v>
      </c>
      <c r="CV31" s="230">
        <f>CV33+CV39+CV49</f>
        <v>129.2997</v>
      </c>
      <c r="CW31" s="230" t="s">
        <v>326</v>
      </c>
      <c r="CX31" s="232" t="s">
        <v>325</v>
      </c>
      <c r="CY31" s="220">
        <f>CY33+CY39+CY49</f>
        <v>89.66</v>
      </c>
      <c r="CZ31" s="231" t="s">
        <v>326</v>
      </c>
      <c r="DA31" s="230" t="s">
        <v>325</v>
      </c>
      <c r="DB31" s="220">
        <f>DB33+DB39+DB49</f>
        <v>0</v>
      </c>
      <c r="DC31" s="230" t="s">
        <v>326</v>
      </c>
      <c r="DD31" s="232" t="s">
        <v>325</v>
      </c>
      <c r="DE31" s="230">
        <f>DE33+DE39+DE49</f>
        <v>89.66</v>
      </c>
      <c r="DF31" s="230" t="s">
        <v>326</v>
      </c>
      <c r="DG31" s="233" t="s">
        <v>325</v>
      </c>
      <c r="DH31" s="220">
        <f>DH33+DH39+DH49</f>
        <v>39.6397</v>
      </c>
      <c r="DI31" s="426" t="s">
        <v>326</v>
      </c>
      <c r="DJ31" s="300"/>
      <c r="DK31" s="228"/>
    </row>
    <row r="32" spans="1:115" s="245" customFormat="1" ht="15.75" customHeight="1" thickBot="1">
      <c r="A32" s="582"/>
      <c r="B32" s="583"/>
      <c r="C32" s="225"/>
      <c r="D32" s="237">
        <f>D34+D40+D50</f>
        <v>1.7295</v>
      </c>
      <c r="E32" s="220"/>
      <c r="F32" s="221"/>
      <c r="G32" s="237">
        <f>G34+G40+G50</f>
        <v>0</v>
      </c>
      <c r="H32" s="222"/>
      <c r="I32" s="220"/>
      <c r="J32" s="237">
        <f>J34+J40+J50</f>
        <v>0</v>
      </c>
      <c r="K32" s="220"/>
      <c r="L32" s="221"/>
      <c r="M32" s="237">
        <f t="shared" si="16"/>
        <v>0</v>
      </c>
      <c r="N32" s="220"/>
      <c r="O32" s="223"/>
      <c r="P32" s="237">
        <f>P34+P40+P50</f>
        <v>1.7295</v>
      </c>
      <c r="Q32" s="224"/>
      <c r="R32" s="225"/>
      <c r="S32" s="310">
        <f>S34+S40+S50</f>
        <v>0</v>
      </c>
      <c r="T32" s="220"/>
      <c r="U32" s="221"/>
      <c r="V32" s="310">
        <f>V34+V40+V50</f>
        <v>0</v>
      </c>
      <c r="W32" s="222"/>
      <c r="X32" s="220"/>
      <c r="Y32" s="310">
        <f>Y34+Y40+Y50</f>
        <v>0</v>
      </c>
      <c r="Z32" s="220"/>
      <c r="AA32" s="221"/>
      <c r="AB32" s="237">
        <f t="shared" si="18"/>
        <v>0</v>
      </c>
      <c r="AC32" s="220"/>
      <c r="AD32" s="223"/>
      <c r="AE32" s="310">
        <f>AE34+AE40+AE50</f>
        <v>0</v>
      </c>
      <c r="AF32" s="242"/>
      <c r="AG32" s="224"/>
      <c r="AH32" s="224"/>
      <c r="AI32" s="225"/>
      <c r="AJ32" s="237">
        <f>AJ34+AJ40+AJ50</f>
        <v>744.6756459999999</v>
      </c>
      <c r="AK32" s="220"/>
      <c r="AL32" s="221"/>
      <c r="AM32" s="237">
        <f>AM34+AM40+AM50</f>
        <v>0</v>
      </c>
      <c r="AN32" s="222"/>
      <c r="AO32" s="220"/>
      <c r="AP32" s="237">
        <f>AP34+AP40+AP50</f>
        <v>2.861246</v>
      </c>
      <c r="AQ32" s="220"/>
      <c r="AR32" s="221"/>
      <c r="AS32" s="237">
        <f>AS34+AS40+AS50</f>
        <v>2.861246</v>
      </c>
      <c r="AT32" s="220"/>
      <c r="AU32" s="223"/>
      <c r="AV32" s="237">
        <f>AV34+AV40+AV50</f>
        <v>741.8144</v>
      </c>
      <c r="AW32" s="242"/>
      <c r="AX32" s="225"/>
      <c r="AY32" s="237">
        <f>AY34+AY40+AY50</f>
        <v>0</v>
      </c>
      <c r="AZ32" s="220"/>
      <c r="BA32" s="221"/>
      <c r="BB32" s="237">
        <f>BB34+BB40+BB50</f>
        <v>0</v>
      </c>
      <c r="BC32" s="222"/>
      <c r="BD32" s="220"/>
      <c r="BE32" s="237">
        <f>BE34+BE40+BE50</f>
        <v>0</v>
      </c>
      <c r="BF32" s="220"/>
      <c r="BG32" s="221"/>
      <c r="BH32" s="237">
        <f>BH34+BH40+BH50</f>
        <v>0</v>
      </c>
      <c r="BI32" s="220"/>
      <c r="BJ32" s="223"/>
      <c r="BK32" s="237">
        <f>BK34+BK40+BK50</f>
        <v>0</v>
      </c>
      <c r="BL32" s="224"/>
      <c r="BM32" s="243"/>
      <c r="BN32" s="582"/>
      <c r="BO32" s="583"/>
      <c r="BP32" s="225"/>
      <c r="BQ32" s="237">
        <f>BQ34+BQ40+BQ50</f>
        <v>2.7427</v>
      </c>
      <c r="BR32" s="220"/>
      <c r="BS32" s="221"/>
      <c r="BT32" s="237">
        <f>BT34+BT40+BT50</f>
        <v>1.03</v>
      </c>
      <c r="BU32" s="222"/>
      <c r="BV32" s="220"/>
      <c r="BW32" s="237">
        <f>BW34+BW40+BW50</f>
        <v>0</v>
      </c>
      <c r="BX32" s="220"/>
      <c r="BY32" s="221"/>
      <c r="BZ32" s="237">
        <f t="shared" si="9"/>
        <v>1.03</v>
      </c>
      <c r="CA32" s="220"/>
      <c r="CB32" s="223"/>
      <c r="CC32" s="237">
        <f>CC34+CC40+CC50</f>
        <v>1.7127</v>
      </c>
      <c r="CD32" s="224"/>
      <c r="CE32" s="225"/>
      <c r="CF32" s="237">
        <f>CF34+CF40+CF50</f>
        <v>202.874</v>
      </c>
      <c r="CG32" s="220"/>
      <c r="CH32" s="221"/>
      <c r="CI32" s="237">
        <f>CI34+CI40+CI50</f>
        <v>160.3994</v>
      </c>
      <c r="CJ32" s="222"/>
      <c r="CK32" s="220"/>
      <c r="CL32" s="237">
        <f>CL34+CL40+CL50</f>
        <v>0</v>
      </c>
      <c r="CM32" s="220"/>
      <c r="CN32" s="221"/>
      <c r="CO32" s="237">
        <f>CO34+CO40+CO50</f>
        <v>160.3994</v>
      </c>
      <c r="CP32" s="220"/>
      <c r="CQ32" s="223"/>
      <c r="CR32" s="237">
        <f>CR34+CR40+CR50</f>
        <v>42.4746</v>
      </c>
      <c r="CS32" s="242"/>
      <c r="CT32" s="224"/>
      <c r="CU32" s="225"/>
      <c r="CV32" s="237">
        <f>CV34+CV40+CV50</f>
        <v>704.0971</v>
      </c>
      <c r="CW32" s="220"/>
      <c r="CX32" s="221"/>
      <c r="CY32" s="237">
        <f>CY34+CY40+CY50</f>
        <v>700.1437</v>
      </c>
      <c r="CZ32" s="222"/>
      <c r="DA32" s="220"/>
      <c r="DB32" s="237">
        <f>DB34+DB40+DB50</f>
        <v>0</v>
      </c>
      <c r="DC32" s="220"/>
      <c r="DD32" s="221"/>
      <c r="DE32" s="237">
        <f>DE34+DE40+DE50</f>
        <v>700.1437</v>
      </c>
      <c r="DF32" s="220"/>
      <c r="DG32" s="223"/>
      <c r="DH32" s="237">
        <f>DH34+DH40+DH50</f>
        <v>3.9534</v>
      </c>
      <c r="DI32" s="224"/>
      <c r="DJ32" s="301"/>
      <c r="DK32" s="228"/>
    </row>
    <row r="33" spans="1:115" s="245" customFormat="1" ht="15.75" customHeight="1">
      <c r="A33" s="569"/>
      <c r="B33" s="568" t="s">
        <v>293</v>
      </c>
      <c r="C33" s="271" t="s">
        <v>145</v>
      </c>
      <c r="D33" s="220">
        <f aca="true" t="shared" si="22" ref="D33:D58">M33+P33</f>
        <v>0</v>
      </c>
      <c r="E33" s="230" t="s">
        <v>146</v>
      </c>
      <c r="F33" s="232" t="s">
        <v>145</v>
      </c>
      <c r="G33" s="230">
        <f>G35+G37</f>
        <v>0</v>
      </c>
      <c r="H33" s="231" t="s">
        <v>146</v>
      </c>
      <c r="I33" s="230" t="s">
        <v>145</v>
      </c>
      <c r="J33" s="230">
        <f>J35+J37</f>
        <v>0</v>
      </c>
      <c r="K33" s="230" t="s">
        <v>146</v>
      </c>
      <c r="L33" s="232" t="s">
        <v>145</v>
      </c>
      <c r="M33" s="220">
        <f t="shared" si="16"/>
        <v>0</v>
      </c>
      <c r="N33" s="230" t="s">
        <v>146</v>
      </c>
      <c r="O33" s="233" t="s">
        <v>145</v>
      </c>
      <c r="P33" s="230">
        <f>P35+P37</f>
        <v>0</v>
      </c>
      <c r="Q33" s="426" t="s">
        <v>146</v>
      </c>
      <c r="R33" s="229" t="s">
        <v>145</v>
      </c>
      <c r="S33" s="220">
        <f aca="true" t="shared" si="23" ref="S33:S58">AB33+AE33</f>
        <v>0</v>
      </c>
      <c r="T33" s="230" t="s">
        <v>146</v>
      </c>
      <c r="U33" s="232" t="s">
        <v>145</v>
      </c>
      <c r="V33" s="230">
        <f>V35+V37</f>
        <v>0</v>
      </c>
      <c r="W33" s="231" t="s">
        <v>146</v>
      </c>
      <c r="X33" s="230" t="s">
        <v>145</v>
      </c>
      <c r="Y33" s="230">
        <f>Y35+Y37</f>
        <v>0</v>
      </c>
      <c r="Z33" s="230" t="s">
        <v>146</v>
      </c>
      <c r="AA33" s="232" t="s">
        <v>145</v>
      </c>
      <c r="AB33" s="220">
        <f t="shared" si="18"/>
        <v>0</v>
      </c>
      <c r="AC33" s="230" t="s">
        <v>146</v>
      </c>
      <c r="AD33" s="233" t="s">
        <v>145</v>
      </c>
      <c r="AE33" s="230">
        <f>AE35+AE37</f>
        <v>0</v>
      </c>
      <c r="AF33" s="234" t="s">
        <v>146</v>
      </c>
      <c r="AG33" s="224"/>
      <c r="AH33" s="224"/>
      <c r="AI33" s="229" t="s">
        <v>145</v>
      </c>
      <c r="AJ33" s="220">
        <f>AJ35+AJ37</f>
        <v>0</v>
      </c>
      <c r="AK33" s="230" t="s">
        <v>146</v>
      </c>
      <c r="AL33" s="232" t="s">
        <v>145</v>
      </c>
      <c r="AM33" s="220">
        <f>AM35+AM37</f>
        <v>0</v>
      </c>
      <c r="AN33" s="231" t="s">
        <v>146</v>
      </c>
      <c r="AO33" s="230" t="s">
        <v>145</v>
      </c>
      <c r="AP33" s="220">
        <f>AP35+AP37</f>
        <v>0</v>
      </c>
      <c r="AQ33" s="230" t="s">
        <v>146</v>
      </c>
      <c r="AR33" s="232" t="s">
        <v>145</v>
      </c>
      <c r="AS33" s="220">
        <f aca="true" t="shared" si="24" ref="AS33:AS38">AM33+AP33</f>
        <v>0</v>
      </c>
      <c r="AT33" s="230" t="s">
        <v>146</v>
      </c>
      <c r="AU33" s="233" t="s">
        <v>145</v>
      </c>
      <c r="AV33" s="220">
        <f>AV35+AV37</f>
        <v>0</v>
      </c>
      <c r="AW33" s="234" t="s">
        <v>146</v>
      </c>
      <c r="AX33" s="229" t="s">
        <v>145</v>
      </c>
      <c r="AY33" s="220">
        <f aca="true" t="shared" si="25" ref="AY33:AY58">BH33+BK33</f>
        <v>0</v>
      </c>
      <c r="AZ33" s="230" t="s">
        <v>146</v>
      </c>
      <c r="BA33" s="232" t="s">
        <v>145</v>
      </c>
      <c r="BB33" s="220">
        <f>BB35+BB37</f>
        <v>0</v>
      </c>
      <c r="BC33" s="231" t="s">
        <v>146</v>
      </c>
      <c r="BD33" s="230" t="s">
        <v>145</v>
      </c>
      <c r="BE33" s="220">
        <f>BE35+BE37</f>
        <v>0</v>
      </c>
      <c r="BF33" s="230" t="s">
        <v>146</v>
      </c>
      <c r="BG33" s="232" t="s">
        <v>145</v>
      </c>
      <c r="BH33" s="220">
        <f aca="true" t="shared" si="26" ref="BH33:BH58">BB33+BE33</f>
        <v>0</v>
      </c>
      <c r="BI33" s="230" t="s">
        <v>146</v>
      </c>
      <c r="BJ33" s="233" t="s">
        <v>145</v>
      </c>
      <c r="BK33" s="220">
        <f>BK35+BK37</f>
        <v>0</v>
      </c>
      <c r="BL33" s="426" t="s">
        <v>146</v>
      </c>
      <c r="BM33" s="300"/>
      <c r="BN33" s="569"/>
      <c r="BO33" s="568" t="s">
        <v>293</v>
      </c>
      <c r="BP33" s="271" t="s">
        <v>145</v>
      </c>
      <c r="BQ33" s="220">
        <f aca="true" t="shared" si="27" ref="BQ33:BQ58">BZ33+CC33</f>
        <v>0</v>
      </c>
      <c r="BR33" s="230" t="s">
        <v>146</v>
      </c>
      <c r="BS33" s="232" t="s">
        <v>145</v>
      </c>
      <c r="BT33" s="230">
        <f>BT35+BT37</f>
        <v>0</v>
      </c>
      <c r="BU33" s="231" t="s">
        <v>146</v>
      </c>
      <c r="BV33" s="230" t="s">
        <v>145</v>
      </c>
      <c r="BW33" s="230">
        <f>BW35+BW37</f>
        <v>0</v>
      </c>
      <c r="BX33" s="230" t="s">
        <v>146</v>
      </c>
      <c r="BY33" s="232" t="s">
        <v>145</v>
      </c>
      <c r="BZ33" s="220">
        <f t="shared" si="9"/>
        <v>0</v>
      </c>
      <c r="CA33" s="230" t="s">
        <v>146</v>
      </c>
      <c r="CB33" s="233" t="s">
        <v>145</v>
      </c>
      <c r="CC33" s="230">
        <f>CC35+CC37</f>
        <v>0</v>
      </c>
      <c r="CD33" s="426" t="s">
        <v>146</v>
      </c>
      <c r="CE33" s="229" t="s">
        <v>145</v>
      </c>
      <c r="CF33" s="220">
        <f aca="true" t="shared" si="28" ref="CF33:CF58">CO33+CR33</f>
        <v>1853.2855</v>
      </c>
      <c r="CG33" s="230" t="s">
        <v>146</v>
      </c>
      <c r="CH33" s="232" t="s">
        <v>145</v>
      </c>
      <c r="CI33" s="230">
        <f>CI35+CI37</f>
        <v>171.4668</v>
      </c>
      <c r="CJ33" s="231" t="s">
        <v>146</v>
      </c>
      <c r="CK33" s="230" t="s">
        <v>145</v>
      </c>
      <c r="CL33" s="230">
        <f>CL35+CL37</f>
        <v>0</v>
      </c>
      <c r="CM33" s="230" t="s">
        <v>146</v>
      </c>
      <c r="CN33" s="232" t="s">
        <v>145</v>
      </c>
      <c r="CO33" s="220">
        <f aca="true" t="shared" si="29" ref="CO33:CO58">CI33+CL33</f>
        <v>171.4668</v>
      </c>
      <c r="CP33" s="230" t="s">
        <v>146</v>
      </c>
      <c r="CQ33" s="233" t="s">
        <v>145</v>
      </c>
      <c r="CR33" s="230">
        <f>CR35+CR37</f>
        <v>1681.8187</v>
      </c>
      <c r="CS33" s="234" t="s">
        <v>146</v>
      </c>
      <c r="CT33" s="224"/>
      <c r="CU33" s="229" t="s">
        <v>145</v>
      </c>
      <c r="CV33" s="220">
        <f aca="true" t="shared" si="30" ref="CV33:CV58">DE33+DH33</f>
        <v>129.2997</v>
      </c>
      <c r="CW33" s="230" t="s">
        <v>146</v>
      </c>
      <c r="CX33" s="232" t="s">
        <v>145</v>
      </c>
      <c r="CY33" s="230">
        <f>CY35+CY37</f>
        <v>89.66</v>
      </c>
      <c r="CZ33" s="231" t="s">
        <v>146</v>
      </c>
      <c r="DA33" s="230" t="s">
        <v>145</v>
      </c>
      <c r="DB33" s="230">
        <f>DB35+DB37</f>
        <v>0</v>
      </c>
      <c r="DC33" s="230" t="s">
        <v>146</v>
      </c>
      <c r="DD33" s="232" t="s">
        <v>145</v>
      </c>
      <c r="DE33" s="230">
        <f>CY33+DB33</f>
        <v>89.66</v>
      </c>
      <c r="DF33" s="230" t="s">
        <v>146</v>
      </c>
      <c r="DG33" s="233" t="s">
        <v>145</v>
      </c>
      <c r="DH33" s="230">
        <f>DH35+DH37</f>
        <v>39.6397</v>
      </c>
      <c r="DI33" s="426" t="s">
        <v>146</v>
      </c>
      <c r="DJ33" s="300"/>
      <c r="DK33" s="228"/>
    </row>
    <row r="34" spans="1:115" s="245" customFormat="1" ht="15.75" customHeight="1" thickBot="1">
      <c r="A34" s="651"/>
      <c r="B34" s="652"/>
      <c r="C34" s="236"/>
      <c r="D34" s="237">
        <f t="shared" si="22"/>
        <v>1.7295</v>
      </c>
      <c r="E34" s="237"/>
      <c r="F34" s="238"/>
      <c r="G34" s="237">
        <f>G36+G38</f>
        <v>0</v>
      </c>
      <c r="H34" s="239"/>
      <c r="I34" s="237"/>
      <c r="J34" s="237">
        <f>J36+J38</f>
        <v>0</v>
      </c>
      <c r="K34" s="237"/>
      <c r="L34" s="238"/>
      <c r="M34" s="237">
        <f t="shared" si="16"/>
        <v>0</v>
      </c>
      <c r="N34" s="237"/>
      <c r="O34" s="240"/>
      <c r="P34" s="237">
        <f>P36+P38</f>
        <v>1.7295</v>
      </c>
      <c r="Q34" s="241"/>
      <c r="R34" s="246"/>
      <c r="S34" s="237">
        <f t="shared" si="23"/>
        <v>0</v>
      </c>
      <c r="T34" s="237"/>
      <c r="U34" s="238"/>
      <c r="V34" s="237">
        <f>V36+V38</f>
        <v>0</v>
      </c>
      <c r="W34" s="239"/>
      <c r="X34" s="237"/>
      <c r="Y34" s="237">
        <f>Y36+Y38</f>
        <v>0</v>
      </c>
      <c r="Z34" s="237"/>
      <c r="AA34" s="238"/>
      <c r="AB34" s="237">
        <f t="shared" si="18"/>
        <v>0</v>
      </c>
      <c r="AC34" s="237"/>
      <c r="AD34" s="240"/>
      <c r="AE34" s="237">
        <f>AE36+AE38</f>
        <v>0</v>
      </c>
      <c r="AF34" s="247"/>
      <c r="AG34" s="224"/>
      <c r="AH34" s="224"/>
      <c r="AI34" s="246"/>
      <c r="AJ34" s="237">
        <f>AJ36+AJ38</f>
        <v>331.804846</v>
      </c>
      <c r="AK34" s="237"/>
      <c r="AL34" s="238"/>
      <c r="AM34" s="237">
        <f>AM36+AM38</f>
        <v>0</v>
      </c>
      <c r="AN34" s="239"/>
      <c r="AO34" s="237"/>
      <c r="AP34" s="237">
        <f>AP36+AP38</f>
        <v>1.152046</v>
      </c>
      <c r="AQ34" s="237"/>
      <c r="AR34" s="238"/>
      <c r="AS34" s="237">
        <f t="shared" si="24"/>
        <v>1.152046</v>
      </c>
      <c r="AT34" s="237"/>
      <c r="AU34" s="240"/>
      <c r="AV34" s="237">
        <f>AV36+AV38</f>
        <v>330.6528</v>
      </c>
      <c r="AW34" s="247"/>
      <c r="AX34" s="246"/>
      <c r="AY34" s="237">
        <f t="shared" si="25"/>
        <v>0</v>
      </c>
      <c r="AZ34" s="237"/>
      <c r="BA34" s="238"/>
      <c r="BB34" s="237">
        <f>BB36+BB38</f>
        <v>0</v>
      </c>
      <c r="BC34" s="239"/>
      <c r="BD34" s="237"/>
      <c r="BE34" s="237">
        <f>BE36+BE38</f>
        <v>0</v>
      </c>
      <c r="BF34" s="237"/>
      <c r="BG34" s="238"/>
      <c r="BH34" s="237">
        <f t="shared" si="26"/>
        <v>0</v>
      </c>
      <c r="BI34" s="237"/>
      <c r="BJ34" s="240"/>
      <c r="BK34" s="237">
        <f>BK36+BK38</f>
        <v>0</v>
      </c>
      <c r="BL34" s="241"/>
      <c r="BM34" s="304"/>
      <c r="BN34" s="651"/>
      <c r="BO34" s="652"/>
      <c r="BP34" s="236"/>
      <c r="BQ34" s="237">
        <f t="shared" si="27"/>
        <v>1.3152</v>
      </c>
      <c r="BR34" s="237"/>
      <c r="BS34" s="238"/>
      <c r="BT34" s="237">
        <f>BT36+BT38</f>
        <v>0</v>
      </c>
      <c r="BU34" s="239"/>
      <c r="BV34" s="237"/>
      <c r="BW34" s="237">
        <f>BW36+BW38</f>
        <v>0</v>
      </c>
      <c r="BX34" s="237"/>
      <c r="BY34" s="238"/>
      <c r="BZ34" s="237">
        <f t="shared" si="9"/>
        <v>0</v>
      </c>
      <c r="CA34" s="237"/>
      <c r="CB34" s="240"/>
      <c r="CC34" s="237">
        <f>CC36+CC38</f>
        <v>1.3152</v>
      </c>
      <c r="CD34" s="241"/>
      <c r="CE34" s="246"/>
      <c r="CF34" s="237">
        <f t="shared" si="28"/>
        <v>178.9264</v>
      </c>
      <c r="CG34" s="237"/>
      <c r="CH34" s="238"/>
      <c r="CI34" s="237">
        <f>CI36+CI38</f>
        <v>160.3994</v>
      </c>
      <c r="CJ34" s="239"/>
      <c r="CK34" s="237"/>
      <c r="CL34" s="237">
        <f>CL36+CL38</f>
        <v>0</v>
      </c>
      <c r="CM34" s="237"/>
      <c r="CN34" s="238"/>
      <c r="CO34" s="237">
        <f t="shared" si="29"/>
        <v>160.3994</v>
      </c>
      <c r="CP34" s="237"/>
      <c r="CQ34" s="240"/>
      <c r="CR34" s="237">
        <f>CR36+CR38</f>
        <v>18.527</v>
      </c>
      <c r="CS34" s="247"/>
      <c r="CT34" s="224"/>
      <c r="CU34" s="246"/>
      <c r="CV34" s="237">
        <f t="shared" si="30"/>
        <v>700.1437</v>
      </c>
      <c r="CW34" s="237"/>
      <c r="CX34" s="238"/>
      <c r="CY34" s="237">
        <f>CY36+CY38</f>
        <v>700.1437</v>
      </c>
      <c r="CZ34" s="239"/>
      <c r="DA34" s="237"/>
      <c r="DB34" s="237">
        <f>DB36+DB38</f>
        <v>0</v>
      </c>
      <c r="DC34" s="237"/>
      <c r="DD34" s="238"/>
      <c r="DE34" s="237">
        <f>CY34+DB34</f>
        <v>700.1437</v>
      </c>
      <c r="DF34" s="237"/>
      <c r="DG34" s="240"/>
      <c r="DH34" s="237">
        <f>DH36+DH38</f>
        <v>0</v>
      </c>
      <c r="DI34" s="241"/>
      <c r="DJ34" s="304"/>
      <c r="DK34" s="228"/>
    </row>
    <row r="35" spans="1:115" s="197" customFormat="1" ht="15.75" customHeight="1">
      <c r="A35" s="612">
        <f>A29+1</f>
        <v>29</v>
      </c>
      <c r="B35" s="613" t="s">
        <v>181</v>
      </c>
      <c r="C35" s="209" t="s">
        <v>145</v>
      </c>
      <c r="D35" s="209">
        <f t="shared" si="22"/>
        <v>0</v>
      </c>
      <c r="E35" s="209" t="s">
        <v>146</v>
      </c>
      <c r="F35" s="427" t="s">
        <v>145</v>
      </c>
      <c r="G35" s="252"/>
      <c r="H35" s="252" t="s">
        <v>146</v>
      </c>
      <c r="I35" s="427" t="s">
        <v>145</v>
      </c>
      <c r="J35" s="252"/>
      <c r="K35" s="252" t="s">
        <v>146</v>
      </c>
      <c r="L35" s="427" t="s">
        <v>145</v>
      </c>
      <c r="M35" s="209">
        <f t="shared" si="16"/>
        <v>0</v>
      </c>
      <c r="N35" s="252" t="s">
        <v>146</v>
      </c>
      <c r="O35" s="212" t="s">
        <v>145</v>
      </c>
      <c r="P35" s="209"/>
      <c r="Q35" s="209" t="s">
        <v>146</v>
      </c>
      <c r="R35" s="208" t="s">
        <v>145</v>
      </c>
      <c r="S35" s="209">
        <f t="shared" si="23"/>
        <v>0</v>
      </c>
      <c r="T35" s="209" t="s">
        <v>146</v>
      </c>
      <c r="U35" s="212" t="s">
        <v>145</v>
      </c>
      <c r="V35" s="209"/>
      <c r="W35" s="209" t="s">
        <v>146</v>
      </c>
      <c r="X35" s="212" t="s">
        <v>145</v>
      </c>
      <c r="Y35" s="209"/>
      <c r="Z35" s="209" t="s">
        <v>146</v>
      </c>
      <c r="AA35" s="212" t="s">
        <v>145</v>
      </c>
      <c r="AB35" s="209">
        <f t="shared" si="18"/>
        <v>0</v>
      </c>
      <c r="AC35" s="209" t="s">
        <v>146</v>
      </c>
      <c r="AD35" s="212" t="s">
        <v>145</v>
      </c>
      <c r="AE35" s="209"/>
      <c r="AF35" s="211" t="s">
        <v>146</v>
      </c>
      <c r="AG35" s="209"/>
      <c r="AH35" s="209"/>
      <c r="AI35" s="208" t="s">
        <v>145</v>
      </c>
      <c r="AJ35" s="209">
        <f>AS35+AV35</f>
        <v>0</v>
      </c>
      <c r="AK35" s="209" t="s">
        <v>146</v>
      </c>
      <c r="AL35" s="212" t="s">
        <v>145</v>
      </c>
      <c r="AM35" s="209"/>
      <c r="AN35" s="209" t="s">
        <v>146</v>
      </c>
      <c r="AO35" s="212" t="s">
        <v>145</v>
      </c>
      <c r="AP35" s="209"/>
      <c r="AQ35" s="209" t="s">
        <v>146</v>
      </c>
      <c r="AR35" s="212" t="s">
        <v>145</v>
      </c>
      <c r="AS35" s="209">
        <f t="shared" si="24"/>
        <v>0</v>
      </c>
      <c r="AT35" s="209" t="s">
        <v>146</v>
      </c>
      <c r="AU35" s="212" t="s">
        <v>145</v>
      </c>
      <c r="AV35" s="209"/>
      <c r="AW35" s="211" t="s">
        <v>146</v>
      </c>
      <c r="AX35" s="208" t="s">
        <v>145</v>
      </c>
      <c r="AY35" s="209">
        <f t="shared" si="25"/>
        <v>0</v>
      </c>
      <c r="AZ35" s="209" t="s">
        <v>146</v>
      </c>
      <c r="BA35" s="212" t="s">
        <v>145</v>
      </c>
      <c r="BB35" s="209"/>
      <c r="BC35" s="209" t="s">
        <v>146</v>
      </c>
      <c r="BD35" s="212" t="s">
        <v>145</v>
      </c>
      <c r="BE35" s="209"/>
      <c r="BF35" s="209" t="s">
        <v>146</v>
      </c>
      <c r="BG35" s="212" t="s">
        <v>145</v>
      </c>
      <c r="BH35" s="209">
        <f t="shared" si="26"/>
        <v>0</v>
      </c>
      <c r="BI35" s="209" t="s">
        <v>146</v>
      </c>
      <c r="BJ35" s="212" t="s">
        <v>145</v>
      </c>
      <c r="BK35" s="209"/>
      <c r="BL35" s="209" t="s">
        <v>146</v>
      </c>
      <c r="BM35" s="653">
        <v>29</v>
      </c>
      <c r="BN35" s="612">
        <v>29</v>
      </c>
      <c r="BO35" s="613" t="s">
        <v>181</v>
      </c>
      <c r="BP35" s="209" t="s">
        <v>145</v>
      </c>
      <c r="BQ35" s="209">
        <f t="shared" si="27"/>
        <v>0</v>
      </c>
      <c r="BR35" s="209" t="s">
        <v>146</v>
      </c>
      <c r="BS35" s="212" t="s">
        <v>145</v>
      </c>
      <c r="BT35" s="209"/>
      <c r="BU35" s="209" t="s">
        <v>146</v>
      </c>
      <c r="BV35" s="212" t="s">
        <v>145</v>
      </c>
      <c r="BW35" s="209"/>
      <c r="BX35" s="209" t="s">
        <v>146</v>
      </c>
      <c r="BY35" s="212" t="s">
        <v>145</v>
      </c>
      <c r="BZ35" s="209">
        <f t="shared" si="9"/>
        <v>0</v>
      </c>
      <c r="CA35" s="209" t="s">
        <v>146</v>
      </c>
      <c r="CB35" s="212" t="s">
        <v>145</v>
      </c>
      <c r="CC35" s="209"/>
      <c r="CD35" s="209" t="s">
        <v>146</v>
      </c>
      <c r="CE35" s="208" t="s">
        <v>145</v>
      </c>
      <c r="CF35" s="209">
        <f t="shared" si="28"/>
        <v>1669.5816</v>
      </c>
      <c r="CG35" s="209" t="s">
        <v>146</v>
      </c>
      <c r="CH35" s="212" t="s">
        <v>145</v>
      </c>
      <c r="CI35" s="209"/>
      <c r="CJ35" s="209" t="s">
        <v>146</v>
      </c>
      <c r="CK35" s="212" t="s">
        <v>145</v>
      </c>
      <c r="CL35" s="209"/>
      <c r="CM35" s="209" t="s">
        <v>146</v>
      </c>
      <c r="CN35" s="212" t="s">
        <v>145</v>
      </c>
      <c r="CO35" s="209">
        <f t="shared" si="29"/>
        <v>0</v>
      </c>
      <c r="CP35" s="209" t="s">
        <v>146</v>
      </c>
      <c r="CQ35" s="212" t="s">
        <v>145</v>
      </c>
      <c r="CR35" s="209">
        <v>1669.5816</v>
      </c>
      <c r="CS35" s="211" t="s">
        <v>146</v>
      </c>
      <c r="CT35" s="209"/>
      <c r="CU35" s="208" t="s">
        <v>145</v>
      </c>
      <c r="CV35" s="209">
        <f t="shared" si="30"/>
        <v>129.2997</v>
      </c>
      <c r="CW35" s="209" t="s">
        <v>146</v>
      </c>
      <c r="CX35" s="212" t="s">
        <v>145</v>
      </c>
      <c r="CY35" s="209">
        <v>89.66</v>
      </c>
      <c r="CZ35" s="209" t="s">
        <v>146</v>
      </c>
      <c r="DA35" s="212" t="s">
        <v>145</v>
      </c>
      <c r="DB35" s="209"/>
      <c r="DC35" s="209" t="s">
        <v>146</v>
      </c>
      <c r="DD35" s="212" t="s">
        <v>145</v>
      </c>
      <c r="DE35" s="209">
        <f>CY35+DB35</f>
        <v>89.66</v>
      </c>
      <c r="DF35" s="209" t="s">
        <v>146</v>
      </c>
      <c r="DG35" s="212" t="s">
        <v>145</v>
      </c>
      <c r="DH35" s="209">
        <v>39.6397</v>
      </c>
      <c r="DI35" s="211" t="s">
        <v>146</v>
      </c>
      <c r="DJ35" s="650">
        <v>29</v>
      </c>
      <c r="DK35" s="199"/>
    </row>
    <row r="36" spans="1:115" s="197" customFormat="1" ht="15.75" customHeight="1">
      <c r="A36" s="580"/>
      <c r="B36" s="611"/>
      <c r="C36" s="209"/>
      <c r="D36" s="254">
        <f t="shared" si="22"/>
        <v>1.7295</v>
      </c>
      <c r="E36" s="209"/>
      <c r="F36" s="427"/>
      <c r="G36" s="252"/>
      <c r="H36" s="252"/>
      <c r="I36" s="427"/>
      <c r="J36" s="252"/>
      <c r="K36" s="252"/>
      <c r="L36" s="427"/>
      <c r="M36" s="254">
        <f t="shared" si="16"/>
        <v>0</v>
      </c>
      <c r="N36" s="252"/>
      <c r="O36" s="212"/>
      <c r="P36" s="209">
        <v>1.7295</v>
      </c>
      <c r="Q36" s="209"/>
      <c r="R36" s="208"/>
      <c r="S36" s="254">
        <f t="shared" si="23"/>
        <v>0</v>
      </c>
      <c r="T36" s="209"/>
      <c r="U36" s="212"/>
      <c r="V36" s="209"/>
      <c r="W36" s="209"/>
      <c r="X36" s="212"/>
      <c r="Y36" s="209"/>
      <c r="Z36" s="209"/>
      <c r="AA36" s="212"/>
      <c r="AB36" s="254">
        <f t="shared" si="18"/>
        <v>0</v>
      </c>
      <c r="AC36" s="209"/>
      <c r="AD36" s="212"/>
      <c r="AE36" s="209"/>
      <c r="AF36" s="211"/>
      <c r="AG36" s="209"/>
      <c r="AH36" s="209"/>
      <c r="AI36" s="208"/>
      <c r="AJ36" s="254">
        <f>AS36+AV36</f>
        <v>263.9241</v>
      </c>
      <c r="AK36" s="209"/>
      <c r="AL36" s="212"/>
      <c r="AM36" s="209"/>
      <c r="AN36" s="209"/>
      <c r="AO36" s="212"/>
      <c r="AP36" s="209">
        <f>0.2885</f>
        <v>0.2885</v>
      </c>
      <c r="AQ36" s="209"/>
      <c r="AR36" s="212"/>
      <c r="AS36" s="254">
        <f t="shared" si="24"/>
        <v>0.2885</v>
      </c>
      <c r="AT36" s="209"/>
      <c r="AU36" s="212"/>
      <c r="AV36" s="209">
        <v>263.6356</v>
      </c>
      <c r="AW36" s="211"/>
      <c r="AX36" s="208"/>
      <c r="AY36" s="254">
        <f t="shared" si="25"/>
        <v>0</v>
      </c>
      <c r="AZ36" s="209"/>
      <c r="BA36" s="212"/>
      <c r="BB36" s="209"/>
      <c r="BC36" s="209"/>
      <c r="BD36" s="212"/>
      <c r="BE36" s="209"/>
      <c r="BF36" s="209"/>
      <c r="BG36" s="212"/>
      <c r="BH36" s="254">
        <f t="shared" si="26"/>
        <v>0</v>
      </c>
      <c r="BI36" s="209"/>
      <c r="BJ36" s="212"/>
      <c r="BK36" s="209"/>
      <c r="BL36" s="209"/>
      <c r="BM36" s="653"/>
      <c r="BN36" s="580"/>
      <c r="BO36" s="611"/>
      <c r="BP36" s="209"/>
      <c r="BQ36" s="254">
        <f t="shared" si="27"/>
        <v>1.3152</v>
      </c>
      <c r="BR36" s="209"/>
      <c r="BS36" s="212"/>
      <c r="BT36" s="209"/>
      <c r="BU36" s="209"/>
      <c r="BV36" s="212"/>
      <c r="BW36" s="209"/>
      <c r="BX36" s="209"/>
      <c r="BY36" s="212"/>
      <c r="BZ36" s="254">
        <f t="shared" si="9"/>
        <v>0</v>
      </c>
      <c r="CA36" s="209"/>
      <c r="CB36" s="212"/>
      <c r="CC36" s="209">
        <v>1.3152</v>
      </c>
      <c r="CD36" s="209"/>
      <c r="CE36" s="208"/>
      <c r="CF36" s="254">
        <f t="shared" si="28"/>
        <v>178.9264</v>
      </c>
      <c r="CG36" s="209"/>
      <c r="CH36" s="212"/>
      <c r="CI36" s="209">
        <v>160.3994</v>
      </c>
      <c r="CJ36" s="209"/>
      <c r="CK36" s="212"/>
      <c r="CL36" s="209"/>
      <c r="CM36" s="209"/>
      <c r="CN36" s="212"/>
      <c r="CO36" s="254">
        <f t="shared" si="29"/>
        <v>160.3994</v>
      </c>
      <c r="CP36" s="209"/>
      <c r="CQ36" s="212"/>
      <c r="CR36" s="209">
        <v>18.527</v>
      </c>
      <c r="CS36" s="211"/>
      <c r="CT36" s="209"/>
      <c r="CU36" s="208"/>
      <c r="CV36" s="254">
        <f t="shared" si="30"/>
        <v>4.2656</v>
      </c>
      <c r="CW36" s="209"/>
      <c r="CX36" s="212"/>
      <c r="CY36" s="209">
        <v>4.2656</v>
      </c>
      <c r="CZ36" s="209"/>
      <c r="DA36" s="212"/>
      <c r="DB36" s="209"/>
      <c r="DC36" s="209"/>
      <c r="DD36" s="212"/>
      <c r="DE36" s="254">
        <f>CY36+DB36</f>
        <v>4.2656</v>
      </c>
      <c r="DF36" s="209"/>
      <c r="DG36" s="212"/>
      <c r="DH36" s="209"/>
      <c r="DI36" s="211"/>
      <c r="DJ36" s="650"/>
      <c r="DK36" s="199"/>
    </row>
    <row r="37" spans="1:115" s="197" customFormat="1" ht="15.75" customHeight="1">
      <c r="A37" s="579">
        <f>A35+1</f>
        <v>30</v>
      </c>
      <c r="B37" s="578" t="s">
        <v>182</v>
      </c>
      <c r="C37" s="258" t="s">
        <v>145</v>
      </c>
      <c r="D37" s="209">
        <f t="shared" si="22"/>
        <v>0</v>
      </c>
      <c r="E37" s="258" t="s">
        <v>146</v>
      </c>
      <c r="F37" s="430" t="s">
        <v>145</v>
      </c>
      <c r="G37" s="260"/>
      <c r="H37" s="260" t="s">
        <v>146</v>
      </c>
      <c r="I37" s="430" t="s">
        <v>145</v>
      </c>
      <c r="J37" s="260"/>
      <c r="K37" s="260" t="s">
        <v>146</v>
      </c>
      <c r="L37" s="430" t="s">
        <v>145</v>
      </c>
      <c r="M37" s="209">
        <f t="shared" si="16"/>
        <v>0</v>
      </c>
      <c r="N37" s="260" t="s">
        <v>146</v>
      </c>
      <c r="O37" s="259" t="s">
        <v>145</v>
      </c>
      <c r="P37" s="258"/>
      <c r="Q37" s="258" t="s">
        <v>146</v>
      </c>
      <c r="R37" s="261" t="s">
        <v>145</v>
      </c>
      <c r="S37" s="209">
        <f t="shared" si="23"/>
        <v>0</v>
      </c>
      <c r="T37" s="258" t="s">
        <v>146</v>
      </c>
      <c r="U37" s="259" t="s">
        <v>145</v>
      </c>
      <c r="V37" s="258"/>
      <c r="W37" s="258" t="s">
        <v>146</v>
      </c>
      <c r="X37" s="259" t="s">
        <v>145</v>
      </c>
      <c r="Y37" s="258"/>
      <c r="Z37" s="258" t="s">
        <v>146</v>
      </c>
      <c r="AA37" s="259" t="s">
        <v>145</v>
      </c>
      <c r="AB37" s="209">
        <f t="shared" si="18"/>
        <v>0</v>
      </c>
      <c r="AC37" s="258" t="s">
        <v>146</v>
      </c>
      <c r="AD37" s="259" t="s">
        <v>145</v>
      </c>
      <c r="AE37" s="258"/>
      <c r="AF37" s="262" t="s">
        <v>146</v>
      </c>
      <c r="AG37" s="209"/>
      <c r="AH37" s="209"/>
      <c r="AI37" s="261" t="s">
        <v>145</v>
      </c>
      <c r="AJ37" s="209">
        <f>AS37+AV37</f>
        <v>0</v>
      </c>
      <c r="AK37" s="258" t="s">
        <v>146</v>
      </c>
      <c r="AL37" s="259" t="s">
        <v>145</v>
      </c>
      <c r="AM37" s="258"/>
      <c r="AN37" s="258" t="s">
        <v>146</v>
      </c>
      <c r="AO37" s="259" t="s">
        <v>145</v>
      </c>
      <c r="AP37" s="258"/>
      <c r="AQ37" s="258" t="s">
        <v>146</v>
      </c>
      <c r="AR37" s="259" t="s">
        <v>145</v>
      </c>
      <c r="AS37" s="209">
        <f t="shared" si="24"/>
        <v>0</v>
      </c>
      <c r="AT37" s="258" t="s">
        <v>146</v>
      </c>
      <c r="AU37" s="259" t="s">
        <v>145</v>
      </c>
      <c r="AV37" s="258"/>
      <c r="AW37" s="262" t="s">
        <v>146</v>
      </c>
      <c r="AX37" s="261" t="s">
        <v>145</v>
      </c>
      <c r="AY37" s="209">
        <f t="shared" si="25"/>
        <v>0</v>
      </c>
      <c r="AZ37" s="258" t="s">
        <v>146</v>
      </c>
      <c r="BA37" s="259" t="s">
        <v>145</v>
      </c>
      <c r="BB37" s="258"/>
      <c r="BC37" s="258" t="s">
        <v>146</v>
      </c>
      <c r="BD37" s="259" t="s">
        <v>145</v>
      </c>
      <c r="BE37" s="258"/>
      <c r="BF37" s="258" t="s">
        <v>146</v>
      </c>
      <c r="BG37" s="259" t="s">
        <v>145</v>
      </c>
      <c r="BH37" s="209">
        <f t="shared" si="26"/>
        <v>0</v>
      </c>
      <c r="BI37" s="258" t="s">
        <v>146</v>
      </c>
      <c r="BJ37" s="259" t="s">
        <v>145</v>
      </c>
      <c r="BK37" s="258"/>
      <c r="BL37" s="258" t="s">
        <v>146</v>
      </c>
      <c r="BM37" s="644">
        <v>30</v>
      </c>
      <c r="BN37" s="579">
        <v>30</v>
      </c>
      <c r="BO37" s="578" t="s">
        <v>182</v>
      </c>
      <c r="BP37" s="258" t="s">
        <v>145</v>
      </c>
      <c r="BQ37" s="209">
        <f t="shared" si="27"/>
        <v>0</v>
      </c>
      <c r="BR37" s="258" t="s">
        <v>146</v>
      </c>
      <c r="BS37" s="259" t="s">
        <v>145</v>
      </c>
      <c r="BT37" s="258"/>
      <c r="BU37" s="258" t="s">
        <v>146</v>
      </c>
      <c r="BV37" s="259" t="s">
        <v>145</v>
      </c>
      <c r="BW37" s="258"/>
      <c r="BX37" s="258" t="s">
        <v>146</v>
      </c>
      <c r="BY37" s="259" t="s">
        <v>145</v>
      </c>
      <c r="BZ37" s="209">
        <f t="shared" si="9"/>
        <v>0</v>
      </c>
      <c r="CA37" s="258" t="s">
        <v>146</v>
      </c>
      <c r="CB37" s="259" t="s">
        <v>145</v>
      </c>
      <c r="CC37" s="258"/>
      <c r="CD37" s="258" t="s">
        <v>146</v>
      </c>
      <c r="CE37" s="261" t="s">
        <v>145</v>
      </c>
      <c r="CF37" s="209">
        <f t="shared" si="28"/>
        <v>183.7039</v>
      </c>
      <c r="CG37" s="258" t="s">
        <v>146</v>
      </c>
      <c r="CH37" s="259" t="s">
        <v>145</v>
      </c>
      <c r="CI37" s="258">
        <v>171.4668</v>
      </c>
      <c r="CJ37" s="258" t="s">
        <v>146</v>
      </c>
      <c r="CK37" s="259" t="s">
        <v>145</v>
      </c>
      <c r="CL37" s="258"/>
      <c r="CM37" s="258" t="s">
        <v>146</v>
      </c>
      <c r="CN37" s="259" t="s">
        <v>145</v>
      </c>
      <c r="CO37" s="209">
        <f t="shared" si="29"/>
        <v>171.4668</v>
      </c>
      <c r="CP37" s="258" t="s">
        <v>146</v>
      </c>
      <c r="CQ37" s="259" t="s">
        <v>145</v>
      </c>
      <c r="CR37" s="258">
        <v>12.2371</v>
      </c>
      <c r="CS37" s="262" t="s">
        <v>146</v>
      </c>
      <c r="CT37" s="209"/>
      <c r="CU37" s="261" t="s">
        <v>145</v>
      </c>
      <c r="CV37" s="209">
        <f t="shared" si="30"/>
        <v>0</v>
      </c>
      <c r="CW37" s="258" t="s">
        <v>146</v>
      </c>
      <c r="CX37" s="259" t="s">
        <v>145</v>
      </c>
      <c r="CY37" s="258"/>
      <c r="CZ37" s="258" t="s">
        <v>146</v>
      </c>
      <c r="DA37" s="259" t="s">
        <v>145</v>
      </c>
      <c r="DB37" s="258"/>
      <c r="DC37" s="258" t="s">
        <v>146</v>
      </c>
      <c r="DD37" s="259" t="s">
        <v>145</v>
      </c>
      <c r="DE37" s="209"/>
      <c r="DF37" s="258" t="s">
        <v>146</v>
      </c>
      <c r="DG37" s="259" t="s">
        <v>145</v>
      </c>
      <c r="DH37" s="258"/>
      <c r="DI37" s="262" t="s">
        <v>146</v>
      </c>
      <c r="DJ37" s="655">
        <v>30</v>
      </c>
      <c r="DK37" s="199"/>
    </row>
    <row r="38" spans="1:115" s="197" customFormat="1" ht="15.75" customHeight="1" thickBot="1">
      <c r="A38" s="580"/>
      <c r="B38" s="611"/>
      <c r="C38" s="254"/>
      <c r="D38" s="254">
        <f t="shared" si="22"/>
        <v>0</v>
      </c>
      <c r="E38" s="254"/>
      <c r="F38" s="431"/>
      <c r="G38" s="263"/>
      <c r="H38" s="263"/>
      <c r="I38" s="431"/>
      <c r="J38" s="263"/>
      <c r="K38" s="263"/>
      <c r="L38" s="431"/>
      <c r="M38" s="254">
        <f t="shared" si="16"/>
        <v>0</v>
      </c>
      <c r="N38" s="263"/>
      <c r="O38" s="255"/>
      <c r="P38" s="254"/>
      <c r="Q38" s="254"/>
      <c r="R38" s="264"/>
      <c r="S38" s="254">
        <f t="shared" si="23"/>
        <v>0</v>
      </c>
      <c r="T38" s="254"/>
      <c r="U38" s="255"/>
      <c r="V38" s="254"/>
      <c r="W38" s="254"/>
      <c r="X38" s="255"/>
      <c r="Y38" s="254"/>
      <c r="Z38" s="254"/>
      <c r="AA38" s="255"/>
      <c r="AB38" s="254">
        <f t="shared" si="18"/>
        <v>0</v>
      </c>
      <c r="AC38" s="254"/>
      <c r="AD38" s="255"/>
      <c r="AE38" s="254"/>
      <c r="AF38" s="265"/>
      <c r="AG38" s="209"/>
      <c r="AH38" s="209"/>
      <c r="AI38" s="264"/>
      <c r="AJ38" s="254">
        <f>AS38+AV38</f>
        <v>67.880746</v>
      </c>
      <c r="AK38" s="254"/>
      <c r="AL38" s="255"/>
      <c r="AM38" s="254"/>
      <c r="AN38" s="254"/>
      <c r="AO38" s="255"/>
      <c r="AP38" s="254">
        <f>0.863546</f>
        <v>0.863546</v>
      </c>
      <c r="AQ38" s="254"/>
      <c r="AR38" s="255"/>
      <c r="AS38" s="217">
        <f t="shared" si="24"/>
        <v>0.863546</v>
      </c>
      <c r="AT38" s="254"/>
      <c r="AU38" s="255"/>
      <c r="AV38" s="254">
        <v>67.0172</v>
      </c>
      <c r="AW38" s="265"/>
      <c r="AX38" s="264"/>
      <c r="AY38" s="254">
        <f t="shared" si="25"/>
        <v>0</v>
      </c>
      <c r="AZ38" s="254"/>
      <c r="BA38" s="255"/>
      <c r="BB38" s="254"/>
      <c r="BC38" s="254"/>
      <c r="BD38" s="255"/>
      <c r="BE38" s="254"/>
      <c r="BF38" s="254"/>
      <c r="BG38" s="255"/>
      <c r="BH38" s="254">
        <f t="shared" si="26"/>
        <v>0</v>
      </c>
      <c r="BI38" s="254"/>
      <c r="BJ38" s="255"/>
      <c r="BK38" s="254"/>
      <c r="BL38" s="254"/>
      <c r="BM38" s="645"/>
      <c r="BN38" s="580"/>
      <c r="BO38" s="611"/>
      <c r="BP38" s="254"/>
      <c r="BQ38" s="217">
        <f t="shared" si="27"/>
        <v>0</v>
      </c>
      <c r="BR38" s="254"/>
      <c r="BS38" s="255"/>
      <c r="BT38" s="254"/>
      <c r="BU38" s="254"/>
      <c r="BV38" s="255"/>
      <c r="BW38" s="254"/>
      <c r="BX38" s="254"/>
      <c r="BY38" s="255"/>
      <c r="BZ38" s="217">
        <f t="shared" si="9"/>
        <v>0</v>
      </c>
      <c r="CA38" s="254"/>
      <c r="CB38" s="255"/>
      <c r="CC38" s="254"/>
      <c r="CD38" s="254"/>
      <c r="CE38" s="264"/>
      <c r="CF38" s="254">
        <f t="shared" si="28"/>
        <v>0</v>
      </c>
      <c r="CG38" s="254"/>
      <c r="CH38" s="255"/>
      <c r="CI38" s="254"/>
      <c r="CJ38" s="254"/>
      <c r="CK38" s="255"/>
      <c r="CL38" s="254"/>
      <c r="CM38" s="254"/>
      <c r="CN38" s="255"/>
      <c r="CO38" s="254">
        <f t="shared" si="29"/>
        <v>0</v>
      </c>
      <c r="CP38" s="254"/>
      <c r="CQ38" s="255"/>
      <c r="CR38" s="305"/>
      <c r="CS38" s="265"/>
      <c r="CT38" s="209"/>
      <c r="CU38" s="264"/>
      <c r="CV38" s="254">
        <f t="shared" si="30"/>
        <v>695.8781</v>
      </c>
      <c r="CW38" s="254"/>
      <c r="CX38" s="255"/>
      <c r="CY38" s="254">
        <v>695.8781</v>
      </c>
      <c r="CZ38" s="254"/>
      <c r="DA38" s="255"/>
      <c r="DB38" s="254"/>
      <c r="DC38" s="254"/>
      <c r="DD38" s="255"/>
      <c r="DE38" s="254">
        <f aca="true" t="shared" si="31" ref="DE38:DE50">CY38+DB38</f>
        <v>695.8781</v>
      </c>
      <c r="DF38" s="254"/>
      <c r="DG38" s="255"/>
      <c r="DH38" s="254"/>
      <c r="DI38" s="265"/>
      <c r="DJ38" s="656"/>
      <c r="DK38" s="199"/>
    </row>
    <row r="39" spans="1:115" s="245" customFormat="1" ht="15.75" customHeight="1">
      <c r="A39" s="569"/>
      <c r="B39" s="568" t="s">
        <v>292</v>
      </c>
      <c r="C39" s="271" t="s">
        <v>145</v>
      </c>
      <c r="D39" s="220">
        <f t="shared" si="22"/>
        <v>0</v>
      </c>
      <c r="E39" s="220" t="s">
        <v>146</v>
      </c>
      <c r="F39" s="221" t="s">
        <v>145</v>
      </c>
      <c r="G39" s="220">
        <f>G41+G43+G45+G47</f>
        <v>0</v>
      </c>
      <c r="H39" s="222" t="s">
        <v>146</v>
      </c>
      <c r="I39" s="220" t="s">
        <v>145</v>
      </c>
      <c r="J39" s="220">
        <f>J41+J43+J45+J47</f>
        <v>0</v>
      </c>
      <c r="K39" s="220" t="s">
        <v>146</v>
      </c>
      <c r="L39" s="221" t="s">
        <v>145</v>
      </c>
      <c r="M39" s="220">
        <f t="shared" si="16"/>
        <v>0</v>
      </c>
      <c r="N39" s="220" t="s">
        <v>146</v>
      </c>
      <c r="O39" s="223" t="s">
        <v>145</v>
      </c>
      <c r="P39" s="220">
        <f>P41+P43+P45+P47</f>
        <v>0</v>
      </c>
      <c r="Q39" s="224" t="s">
        <v>146</v>
      </c>
      <c r="R39" s="277" t="s">
        <v>145</v>
      </c>
      <c r="S39" s="220">
        <f t="shared" si="23"/>
        <v>0</v>
      </c>
      <c r="T39" s="220" t="s">
        <v>146</v>
      </c>
      <c r="U39" s="221" t="s">
        <v>145</v>
      </c>
      <c r="V39" s="220">
        <f>V41+V43+V45+V47</f>
        <v>0</v>
      </c>
      <c r="W39" s="222" t="s">
        <v>146</v>
      </c>
      <c r="X39" s="220" t="s">
        <v>145</v>
      </c>
      <c r="Y39" s="220">
        <f>Y41+Y43+Y45+Y47</f>
        <v>0</v>
      </c>
      <c r="Z39" s="220" t="s">
        <v>146</v>
      </c>
      <c r="AA39" s="221" t="s">
        <v>145</v>
      </c>
      <c r="AB39" s="220">
        <f t="shared" si="18"/>
        <v>0</v>
      </c>
      <c r="AC39" s="220" t="s">
        <v>146</v>
      </c>
      <c r="AD39" s="223" t="s">
        <v>145</v>
      </c>
      <c r="AE39" s="220">
        <f>AE41+AE43+AE45+AE47</f>
        <v>0</v>
      </c>
      <c r="AF39" s="234" t="s">
        <v>146</v>
      </c>
      <c r="AG39" s="224"/>
      <c r="AH39" s="224"/>
      <c r="AI39" s="229" t="s">
        <v>145</v>
      </c>
      <c r="AJ39" s="230">
        <f>AJ41+AJ43+AJ45+AJ47</f>
        <v>0</v>
      </c>
      <c r="AK39" s="230" t="s">
        <v>146</v>
      </c>
      <c r="AL39" s="232" t="s">
        <v>145</v>
      </c>
      <c r="AM39" s="230">
        <f>AM41+AM43+AM45+AM47</f>
        <v>0</v>
      </c>
      <c r="AN39" s="231" t="s">
        <v>146</v>
      </c>
      <c r="AO39" s="230" t="s">
        <v>145</v>
      </c>
      <c r="AP39" s="230">
        <f>AP41+AP43+AP45+AP47</f>
        <v>0</v>
      </c>
      <c r="AQ39" s="230" t="s">
        <v>146</v>
      </c>
      <c r="AR39" s="232" t="s">
        <v>145</v>
      </c>
      <c r="AS39" s="220"/>
      <c r="AT39" s="230" t="s">
        <v>146</v>
      </c>
      <c r="AU39" s="233" t="s">
        <v>145</v>
      </c>
      <c r="AV39" s="230">
        <f>AV41+AV43+AV45+AV47</f>
        <v>0</v>
      </c>
      <c r="AW39" s="234" t="s">
        <v>146</v>
      </c>
      <c r="AX39" s="229" t="s">
        <v>145</v>
      </c>
      <c r="AY39" s="220">
        <f t="shared" si="25"/>
        <v>0</v>
      </c>
      <c r="AZ39" s="230" t="s">
        <v>146</v>
      </c>
      <c r="BA39" s="232" t="s">
        <v>145</v>
      </c>
      <c r="BB39" s="230">
        <f>BB41+BB43+BB45+BB47</f>
        <v>0</v>
      </c>
      <c r="BC39" s="231" t="s">
        <v>146</v>
      </c>
      <c r="BD39" s="230" t="s">
        <v>145</v>
      </c>
      <c r="BE39" s="230">
        <f>BE41+BE43+BE45+BE47</f>
        <v>0</v>
      </c>
      <c r="BF39" s="230" t="s">
        <v>146</v>
      </c>
      <c r="BG39" s="232" t="s">
        <v>145</v>
      </c>
      <c r="BH39" s="220">
        <f t="shared" si="26"/>
        <v>0</v>
      </c>
      <c r="BI39" s="230" t="s">
        <v>146</v>
      </c>
      <c r="BJ39" s="233" t="s">
        <v>145</v>
      </c>
      <c r="BK39" s="230">
        <f>BK41+BK43+BK45+BK47</f>
        <v>0</v>
      </c>
      <c r="BL39" s="426" t="s">
        <v>146</v>
      </c>
      <c r="BM39" s="300"/>
      <c r="BN39" s="569"/>
      <c r="BO39" s="568" t="s">
        <v>292</v>
      </c>
      <c r="BP39" s="271" t="s">
        <v>145</v>
      </c>
      <c r="BQ39" s="220">
        <f t="shared" si="27"/>
        <v>0</v>
      </c>
      <c r="BR39" s="230" t="s">
        <v>146</v>
      </c>
      <c r="BS39" s="232" t="s">
        <v>145</v>
      </c>
      <c r="BT39" s="230">
        <f>BT41+BT43+BT45+BT47</f>
        <v>0</v>
      </c>
      <c r="BU39" s="231" t="s">
        <v>146</v>
      </c>
      <c r="BV39" s="230" t="s">
        <v>145</v>
      </c>
      <c r="BW39" s="230">
        <f>BW41+BW43+BW45+BW47</f>
        <v>0</v>
      </c>
      <c r="BX39" s="230" t="s">
        <v>146</v>
      </c>
      <c r="BY39" s="232" t="s">
        <v>145</v>
      </c>
      <c r="BZ39" s="220">
        <f t="shared" si="9"/>
        <v>0</v>
      </c>
      <c r="CA39" s="230" t="s">
        <v>146</v>
      </c>
      <c r="CB39" s="233" t="s">
        <v>145</v>
      </c>
      <c r="CC39" s="230">
        <f>CC41+CC43+CC45+CC47</f>
        <v>0</v>
      </c>
      <c r="CD39" s="426" t="s">
        <v>146</v>
      </c>
      <c r="CE39" s="229" t="s">
        <v>145</v>
      </c>
      <c r="CF39" s="230">
        <f t="shared" si="28"/>
        <v>487.99789999999996</v>
      </c>
      <c r="CG39" s="230" t="s">
        <v>146</v>
      </c>
      <c r="CH39" s="232" t="s">
        <v>145</v>
      </c>
      <c r="CI39" s="230">
        <f>CI41+CI43+CI45+CI47</f>
        <v>0</v>
      </c>
      <c r="CJ39" s="231" t="s">
        <v>146</v>
      </c>
      <c r="CK39" s="230" t="s">
        <v>145</v>
      </c>
      <c r="CL39" s="230">
        <f>CL41+CL43+CL45+CL47</f>
        <v>0.57</v>
      </c>
      <c r="CM39" s="230" t="s">
        <v>146</v>
      </c>
      <c r="CN39" s="232" t="s">
        <v>145</v>
      </c>
      <c r="CO39" s="214">
        <f t="shared" si="29"/>
        <v>0.57</v>
      </c>
      <c r="CP39" s="230" t="s">
        <v>146</v>
      </c>
      <c r="CQ39" s="233" t="s">
        <v>145</v>
      </c>
      <c r="CR39" s="230">
        <f>CR41+CR43+CR45+CR47</f>
        <v>487.42789999999997</v>
      </c>
      <c r="CS39" s="234" t="s">
        <v>146</v>
      </c>
      <c r="CT39" s="224"/>
      <c r="CU39" s="229" t="s">
        <v>145</v>
      </c>
      <c r="CV39" s="230">
        <f t="shared" si="30"/>
        <v>0</v>
      </c>
      <c r="CW39" s="230" t="s">
        <v>146</v>
      </c>
      <c r="CX39" s="232" t="s">
        <v>145</v>
      </c>
      <c r="CY39" s="230">
        <f>CY41+CY43+CY45+CY47</f>
        <v>0</v>
      </c>
      <c r="CZ39" s="231" t="s">
        <v>146</v>
      </c>
      <c r="DA39" s="230" t="s">
        <v>145</v>
      </c>
      <c r="DB39" s="230">
        <f>DB41+DB43+DB45+DB47</f>
        <v>0</v>
      </c>
      <c r="DC39" s="230" t="s">
        <v>146</v>
      </c>
      <c r="DD39" s="232" t="s">
        <v>145</v>
      </c>
      <c r="DE39" s="220">
        <f t="shared" si="31"/>
        <v>0</v>
      </c>
      <c r="DF39" s="230" t="s">
        <v>146</v>
      </c>
      <c r="DG39" s="233" t="s">
        <v>145</v>
      </c>
      <c r="DH39" s="230">
        <f>DH41+DH43+DH45+DH47</f>
        <v>0</v>
      </c>
      <c r="DI39" s="426" t="s">
        <v>146</v>
      </c>
      <c r="DJ39" s="300"/>
      <c r="DK39" s="228"/>
    </row>
    <row r="40" spans="1:115" s="245" customFormat="1" ht="15.75" customHeight="1" thickBot="1">
      <c r="A40" s="651"/>
      <c r="B40" s="652"/>
      <c r="C40" s="236"/>
      <c r="D40" s="237">
        <f t="shared" si="22"/>
        <v>0</v>
      </c>
      <c r="E40" s="237"/>
      <c r="F40" s="238"/>
      <c r="G40" s="237">
        <f>G42+G44+G46+G48</f>
        <v>0</v>
      </c>
      <c r="H40" s="239"/>
      <c r="I40" s="237"/>
      <c r="J40" s="237">
        <f>J42+J44+J46+J48</f>
        <v>0</v>
      </c>
      <c r="K40" s="237"/>
      <c r="L40" s="238"/>
      <c r="M40" s="237">
        <f t="shared" si="16"/>
        <v>0</v>
      </c>
      <c r="N40" s="237"/>
      <c r="O40" s="240"/>
      <c r="P40" s="237">
        <f>P42+P44+P46+P48</f>
        <v>0</v>
      </c>
      <c r="Q40" s="241"/>
      <c r="R40" s="246"/>
      <c r="S40" s="320">
        <f t="shared" si="23"/>
        <v>0</v>
      </c>
      <c r="T40" s="237"/>
      <c r="U40" s="238"/>
      <c r="V40" s="237">
        <f>V42+V44+V46+V48</f>
        <v>0</v>
      </c>
      <c r="W40" s="239"/>
      <c r="X40" s="237"/>
      <c r="Y40" s="237">
        <f>Y42+Y44+Y46+Y48</f>
        <v>0</v>
      </c>
      <c r="Z40" s="237"/>
      <c r="AA40" s="238"/>
      <c r="AB40" s="237">
        <f t="shared" si="18"/>
        <v>0</v>
      </c>
      <c r="AC40" s="237"/>
      <c r="AD40" s="240"/>
      <c r="AE40" s="320">
        <f>AE42+AE44+AE46+AE48</f>
        <v>0</v>
      </c>
      <c r="AF40" s="247"/>
      <c r="AG40" s="224"/>
      <c r="AH40" s="224"/>
      <c r="AI40" s="246"/>
      <c r="AJ40" s="237">
        <f>AJ42+AJ44+AJ46+AJ48</f>
        <v>306.9559</v>
      </c>
      <c r="AK40" s="237"/>
      <c r="AL40" s="238"/>
      <c r="AM40" s="237">
        <f>AM42+AM44+AM46+AM48</f>
        <v>0</v>
      </c>
      <c r="AN40" s="239"/>
      <c r="AO40" s="237"/>
      <c r="AP40" s="237">
        <f>AP42+AP44+AP46+AP48</f>
        <v>1</v>
      </c>
      <c r="AQ40" s="237"/>
      <c r="AR40" s="238"/>
      <c r="AS40" s="237">
        <f aca="true" t="shared" si="32" ref="AS40:AS48">AM40+AP40</f>
        <v>1</v>
      </c>
      <c r="AT40" s="237"/>
      <c r="AU40" s="240"/>
      <c r="AV40" s="237">
        <f>AV42+AV44+AV46+AV48</f>
        <v>305.9559</v>
      </c>
      <c r="AW40" s="247"/>
      <c r="AX40" s="246"/>
      <c r="AY40" s="237">
        <f t="shared" si="25"/>
        <v>0</v>
      </c>
      <c r="AZ40" s="237"/>
      <c r="BA40" s="238"/>
      <c r="BB40" s="237">
        <f>BB42+BB44+BB46+BB48</f>
        <v>0</v>
      </c>
      <c r="BC40" s="239"/>
      <c r="BD40" s="237"/>
      <c r="BE40" s="237">
        <f>BE42+BE44+BE46+BE48</f>
        <v>0</v>
      </c>
      <c r="BF40" s="237"/>
      <c r="BG40" s="238"/>
      <c r="BH40" s="237">
        <f t="shared" si="26"/>
        <v>0</v>
      </c>
      <c r="BI40" s="237"/>
      <c r="BJ40" s="240"/>
      <c r="BK40" s="237">
        <f>BK42+BK44+BK46+BK48</f>
        <v>0</v>
      </c>
      <c r="BL40" s="241"/>
      <c r="BM40" s="304"/>
      <c r="BN40" s="651"/>
      <c r="BO40" s="652"/>
      <c r="BP40" s="236"/>
      <c r="BQ40" s="237">
        <f t="shared" si="27"/>
        <v>1.0392000000000001</v>
      </c>
      <c r="BR40" s="237"/>
      <c r="BS40" s="238"/>
      <c r="BT40" s="237">
        <f>BT42+BT44+BT46+BT48</f>
        <v>1.03</v>
      </c>
      <c r="BU40" s="239"/>
      <c r="BV40" s="237"/>
      <c r="BW40" s="237">
        <f>BW42+BW44+BW46+BW48</f>
        <v>0</v>
      </c>
      <c r="BX40" s="237"/>
      <c r="BY40" s="238"/>
      <c r="BZ40" s="237">
        <f t="shared" si="9"/>
        <v>1.03</v>
      </c>
      <c r="CA40" s="237"/>
      <c r="CB40" s="240"/>
      <c r="CC40" s="310">
        <f>CC42+CC44+CC46+CC48</f>
        <v>0.0092</v>
      </c>
      <c r="CD40" s="241"/>
      <c r="CE40" s="246"/>
      <c r="CF40" s="237">
        <f t="shared" si="28"/>
        <v>0</v>
      </c>
      <c r="CG40" s="237"/>
      <c r="CH40" s="238"/>
      <c r="CI40" s="237">
        <f>CI42+CI44+CI46+CI48</f>
        <v>0</v>
      </c>
      <c r="CJ40" s="239"/>
      <c r="CK40" s="237"/>
      <c r="CL40" s="237">
        <f>CL42+CL44+CL46+CL48</f>
        <v>0</v>
      </c>
      <c r="CM40" s="237"/>
      <c r="CN40" s="238"/>
      <c r="CO40" s="209">
        <f t="shared" si="29"/>
        <v>0</v>
      </c>
      <c r="CP40" s="237"/>
      <c r="CQ40" s="240"/>
      <c r="CR40" s="237">
        <f>CR42+CR44+CR46+CR48</f>
        <v>0</v>
      </c>
      <c r="CS40" s="247"/>
      <c r="CT40" s="224"/>
      <c r="CU40" s="246"/>
      <c r="CV40" s="237">
        <f t="shared" si="30"/>
        <v>0</v>
      </c>
      <c r="CW40" s="237"/>
      <c r="CX40" s="238"/>
      <c r="CY40" s="237">
        <f>CY42+CY44+CY46+CY48</f>
        <v>0</v>
      </c>
      <c r="CZ40" s="239"/>
      <c r="DA40" s="237"/>
      <c r="DB40" s="237">
        <f>DB42+DB44+DB46+DB48</f>
        <v>0</v>
      </c>
      <c r="DC40" s="237"/>
      <c r="DD40" s="238"/>
      <c r="DE40" s="237">
        <f t="shared" si="31"/>
        <v>0</v>
      </c>
      <c r="DF40" s="237"/>
      <c r="DG40" s="240"/>
      <c r="DH40" s="237">
        <f>DH42+DH44+DH46+DH48</f>
        <v>0</v>
      </c>
      <c r="DI40" s="241"/>
      <c r="DJ40" s="304"/>
      <c r="DK40" s="228"/>
    </row>
    <row r="41" spans="1:115" s="197" customFormat="1" ht="15.75" customHeight="1">
      <c r="A41" s="612">
        <v>31</v>
      </c>
      <c r="B41" s="613" t="s">
        <v>183</v>
      </c>
      <c r="C41" s="209" t="s">
        <v>145</v>
      </c>
      <c r="D41" s="209">
        <f t="shared" si="22"/>
        <v>0</v>
      </c>
      <c r="E41" s="209" t="s">
        <v>146</v>
      </c>
      <c r="F41" s="427" t="s">
        <v>145</v>
      </c>
      <c r="G41" s="252"/>
      <c r="H41" s="252" t="s">
        <v>146</v>
      </c>
      <c r="I41" s="427" t="s">
        <v>145</v>
      </c>
      <c r="J41" s="252"/>
      <c r="K41" s="252" t="s">
        <v>146</v>
      </c>
      <c r="L41" s="427" t="s">
        <v>145</v>
      </c>
      <c r="M41" s="209">
        <f t="shared" si="16"/>
        <v>0</v>
      </c>
      <c r="N41" s="252" t="s">
        <v>146</v>
      </c>
      <c r="O41" s="212" t="s">
        <v>145</v>
      </c>
      <c r="P41" s="209"/>
      <c r="Q41" s="209" t="s">
        <v>146</v>
      </c>
      <c r="R41" s="208" t="s">
        <v>145</v>
      </c>
      <c r="S41" s="209">
        <f t="shared" si="23"/>
        <v>0</v>
      </c>
      <c r="T41" s="209" t="s">
        <v>146</v>
      </c>
      <c r="U41" s="212" t="s">
        <v>145</v>
      </c>
      <c r="V41" s="209"/>
      <c r="W41" s="209" t="s">
        <v>146</v>
      </c>
      <c r="X41" s="212" t="s">
        <v>145</v>
      </c>
      <c r="Y41" s="209"/>
      <c r="Z41" s="209" t="s">
        <v>146</v>
      </c>
      <c r="AA41" s="212" t="s">
        <v>145</v>
      </c>
      <c r="AB41" s="209">
        <f t="shared" si="18"/>
        <v>0</v>
      </c>
      <c r="AC41" s="209" t="s">
        <v>146</v>
      </c>
      <c r="AD41" s="212" t="s">
        <v>145</v>
      </c>
      <c r="AE41" s="209"/>
      <c r="AF41" s="211" t="s">
        <v>146</v>
      </c>
      <c r="AG41" s="209"/>
      <c r="AH41" s="209"/>
      <c r="AI41" s="208" t="s">
        <v>145</v>
      </c>
      <c r="AJ41" s="209">
        <f aca="true" t="shared" si="33" ref="AJ41:AJ48">AS41+AV41</f>
        <v>0</v>
      </c>
      <c r="AK41" s="209" t="s">
        <v>146</v>
      </c>
      <c r="AL41" s="212" t="s">
        <v>145</v>
      </c>
      <c r="AM41" s="209"/>
      <c r="AN41" s="209" t="s">
        <v>146</v>
      </c>
      <c r="AO41" s="212" t="s">
        <v>145</v>
      </c>
      <c r="AP41" s="209"/>
      <c r="AQ41" s="209" t="s">
        <v>146</v>
      </c>
      <c r="AR41" s="212" t="s">
        <v>145</v>
      </c>
      <c r="AS41" s="209">
        <f t="shared" si="32"/>
        <v>0</v>
      </c>
      <c r="AT41" s="209" t="s">
        <v>146</v>
      </c>
      <c r="AU41" s="212" t="s">
        <v>145</v>
      </c>
      <c r="AV41" s="209"/>
      <c r="AW41" s="211" t="s">
        <v>146</v>
      </c>
      <c r="AX41" s="208" t="s">
        <v>145</v>
      </c>
      <c r="AY41" s="209">
        <f t="shared" si="25"/>
        <v>0</v>
      </c>
      <c r="AZ41" s="209" t="s">
        <v>146</v>
      </c>
      <c r="BA41" s="212" t="s">
        <v>145</v>
      </c>
      <c r="BB41" s="209"/>
      <c r="BC41" s="209" t="s">
        <v>146</v>
      </c>
      <c r="BD41" s="212" t="s">
        <v>145</v>
      </c>
      <c r="BE41" s="209"/>
      <c r="BF41" s="209" t="s">
        <v>146</v>
      </c>
      <c r="BG41" s="212" t="s">
        <v>145</v>
      </c>
      <c r="BH41" s="209">
        <f t="shared" si="26"/>
        <v>0</v>
      </c>
      <c r="BI41" s="209" t="s">
        <v>146</v>
      </c>
      <c r="BJ41" s="212" t="s">
        <v>145</v>
      </c>
      <c r="BK41" s="209"/>
      <c r="BL41" s="209" t="s">
        <v>146</v>
      </c>
      <c r="BM41" s="653">
        <v>32</v>
      </c>
      <c r="BN41" s="612">
        <v>32</v>
      </c>
      <c r="BO41" s="613" t="s">
        <v>183</v>
      </c>
      <c r="BP41" s="209" t="s">
        <v>145</v>
      </c>
      <c r="BQ41" s="209">
        <f t="shared" si="27"/>
        <v>0</v>
      </c>
      <c r="BR41" s="209" t="s">
        <v>146</v>
      </c>
      <c r="BS41" s="212" t="s">
        <v>145</v>
      </c>
      <c r="BT41" s="209"/>
      <c r="BU41" s="209" t="s">
        <v>146</v>
      </c>
      <c r="BV41" s="212" t="s">
        <v>145</v>
      </c>
      <c r="BW41" s="209"/>
      <c r="BX41" s="209" t="s">
        <v>146</v>
      </c>
      <c r="BY41" s="212" t="s">
        <v>145</v>
      </c>
      <c r="BZ41" s="209">
        <f aca="true" t="shared" si="34" ref="BZ41:BZ58">BT41+BW41</f>
        <v>0</v>
      </c>
      <c r="CA41" s="209" t="s">
        <v>146</v>
      </c>
      <c r="CB41" s="212" t="s">
        <v>145</v>
      </c>
      <c r="CC41" s="209"/>
      <c r="CD41" s="209" t="s">
        <v>146</v>
      </c>
      <c r="CE41" s="208" t="s">
        <v>145</v>
      </c>
      <c r="CF41" s="209">
        <f t="shared" si="28"/>
        <v>364.2306</v>
      </c>
      <c r="CG41" s="209" t="s">
        <v>146</v>
      </c>
      <c r="CH41" s="212" t="s">
        <v>145</v>
      </c>
      <c r="CI41" s="209"/>
      <c r="CJ41" s="209" t="s">
        <v>146</v>
      </c>
      <c r="CK41" s="212" t="s">
        <v>145</v>
      </c>
      <c r="CL41" s="209"/>
      <c r="CM41" s="209" t="s">
        <v>146</v>
      </c>
      <c r="CN41" s="212" t="s">
        <v>145</v>
      </c>
      <c r="CO41" s="214">
        <f t="shared" si="29"/>
        <v>0</v>
      </c>
      <c r="CP41" s="209" t="s">
        <v>146</v>
      </c>
      <c r="CQ41" s="212" t="s">
        <v>145</v>
      </c>
      <c r="CR41" s="209">
        <v>364.2306</v>
      </c>
      <c r="CS41" s="211" t="s">
        <v>146</v>
      </c>
      <c r="CT41" s="209"/>
      <c r="CU41" s="213" t="s">
        <v>145</v>
      </c>
      <c r="CV41" s="214">
        <f t="shared" si="30"/>
        <v>0</v>
      </c>
      <c r="CW41" s="209" t="s">
        <v>146</v>
      </c>
      <c r="CX41" s="212" t="s">
        <v>145</v>
      </c>
      <c r="CY41" s="209"/>
      <c r="CZ41" s="209" t="s">
        <v>146</v>
      </c>
      <c r="DA41" s="212" t="s">
        <v>145</v>
      </c>
      <c r="DB41" s="209"/>
      <c r="DC41" s="209" t="s">
        <v>146</v>
      </c>
      <c r="DD41" s="212" t="s">
        <v>145</v>
      </c>
      <c r="DE41" s="209">
        <f t="shared" si="31"/>
        <v>0</v>
      </c>
      <c r="DF41" s="209" t="s">
        <v>146</v>
      </c>
      <c r="DG41" s="212" t="s">
        <v>145</v>
      </c>
      <c r="DH41" s="209"/>
      <c r="DI41" s="211" t="s">
        <v>146</v>
      </c>
      <c r="DJ41" s="650">
        <v>32</v>
      </c>
      <c r="DK41" s="199"/>
    </row>
    <row r="42" spans="1:115" s="197" customFormat="1" ht="15.75" customHeight="1">
      <c r="A42" s="580"/>
      <c r="B42" s="611"/>
      <c r="C42" s="209"/>
      <c r="D42" s="254">
        <f t="shared" si="22"/>
        <v>0</v>
      </c>
      <c r="E42" s="209"/>
      <c r="F42" s="427"/>
      <c r="G42" s="252"/>
      <c r="H42" s="252"/>
      <c r="I42" s="427"/>
      <c r="J42" s="252"/>
      <c r="K42" s="252"/>
      <c r="L42" s="427"/>
      <c r="M42" s="254">
        <f t="shared" si="16"/>
        <v>0</v>
      </c>
      <c r="N42" s="252"/>
      <c r="O42" s="212"/>
      <c r="P42" s="209"/>
      <c r="Q42" s="209"/>
      <c r="R42" s="208"/>
      <c r="S42" s="307">
        <f t="shared" si="23"/>
        <v>0</v>
      </c>
      <c r="T42" s="209"/>
      <c r="U42" s="212"/>
      <c r="V42" s="209"/>
      <c r="W42" s="209"/>
      <c r="X42" s="212"/>
      <c r="Y42" s="209"/>
      <c r="Z42" s="209"/>
      <c r="AA42" s="212"/>
      <c r="AB42" s="254">
        <f t="shared" si="18"/>
        <v>0</v>
      </c>
      <c r="AC42" s="209"/>
      <c r="AD42" s="212"/>
      <c r="AE42" s="312"/>
      <c r="AF42" s="211"/>
      <c r="AG42" s="209"/>
      <c r="AH42" s="209"/>
      <c r="AI42" s="208"/>
      <c r="AJ42" s="254">
        <f t="shared" si="33"/>
        <v>306.9559</v>
      </c>
      <c r="AK42" s="209"/>
      <c r="AL42" s="212"/>
      <c r="AM42" s="209"/>
      <c r="AN42" s="209"/>
      <c r="AO42" s="212"/>
      <c r="AP42" s="209">
        <v>1</v>
      </c>
      <c r="AQ42" s="209"/>
      <c r="AR42" s="212"/>
      <c r="AS42" s="254">
        <f t="shared" si="32"/>
        <v>1</v>
      </c>
      <c r="AT42" s="209"/>
      <c r="AU42" s="212"/>
      <c r="AV42" s="209">
        <v>305.9559</v>
      </c>
      <c r="AW42" s="211"/>
      <c r="AX42" s="208"/>
      <c r="AY42" s="254">
        <f t="shared" si="25"/>
        <v>0</v>
      </c>
      <c r="AZ42" s="209"/>
      <c r="BA42" s="212"/>
      <c r="BB42" s="209"/>
      <c r="BC42" s="209"/>
      <c r="BD42" s="212"/>
      <c r="BE42" s="209"/>
      <c r="BF42" s="209"/>
      <c r="BG42" s="212"/>
      <c r="BH42" s="254">
        <f t="shared" si="26"/>
        <v>0</v>
      </c>
      <c r="BI42" s="209"/>
      <c r="BJ42" s="212"/>
      <c r="BK42" s="209"/>
      <c r="BL42" s="209"/>
      <c r="BM42" s="653"/>
      <c r="BN42" s="580"/>
      <c r="BO42" s="611"/>
      <c r="BP42" s="209"/>
      <c r="BQ42" s="254">
        <f t="shared" si="27"/>
        <v>0</v>
      </c>
      <c r="BR42" s="209"/>
      <c r="BS42" s="212"/>
      <c r="BT42" s="209"/>
      <c r="BU42" s="209"/>
      <c r="BV42" s="212"/>
      <c r="BW42" s="209"/>
      <c r="BX42" s="209"/>
      <c r="BY42" s="212"/>
      <c r="BZ42" s="254">
        <f t="shared" si="34"/>
        <v>0</v>
      </c>
      <c r="CA42" s="209"/>
      <c r="CB42" s="212"/>
      <c r="CC42" s="209"/>
      <c r="CD42" s="209"/>
      <c r="CE42" s="208"/>
      <c r="CF42" s="254">
        <f t="shared" si="28"/>
        <v>0</v>
      </c>
      <c r="CG42" s="209"/>
      <c r="CH42" s="212"/>
      <c r="CI42" s="209"/>
      <c r="CJ42" s="209"/>
      <c r="CK42" s="212"/>
      <c r="CL42" s="209"/>
      <c r="CM42" s="209"/>
      <c r="CN42" s="212"/>
      <c r="CO42" s="254">
        <f t="shared" si="29"/>
        <v>0</v>
      </c>
      <c r="CP42" s="209"/>
      <c r="CQ42" s="212"/>
      <c r="CR42" s="209"/>
      <c r="CS42" s="211"/>
      <c r="CT42" s="209"/>
      <c r="CU42" s="208"/>
      <c r="CV42" s="254">
        <f t="shared" si="30"/>
        <v>0</v>
      </c>
      <c r="CW42" s="209"/>
      <c r="CX42" s="212"/>
      <c r="CY42" s="209"/>
      <c r="CZ42" s="209"/>
      <c r="DA42" s="212"/>
      <c r="DB42" s="209"/>
      <c r="DC42" s="209"/>
      <c r="DD42" s="212"/>
      <c r="DE42" s="254">
        <f t="shared" si="31"/>
        <v>0</v>
      </c>
      <c r="DF42" s="209"/>
      <c r="DG42" s="212"/>
      <c r="DH42" s="209"/>
      <c r="DI42" s="211"/>
      <c r="DJ42" s="650"/>
      <c r="DK42" s="199"/>
    </row>
    <row r="43" spans="1:115" s="197" customFormat="1" ht="15.75" customHeight="1">
      <c r="A43" s="579">
        <f>A41+1</f>
        <v>32</v>
      </c>
      <c r="B43" s="578" t="s">
        <v>184</v>
      </c>
      <c r="C43" s="258" t="s">
        <v>145</v>
      </c>
      <c r="D43" s="209">
        <f t="shared" si="22"/>
        <v>0</v>
      </c>
      <c r="E43" s="258" t="s">
        <v>146</v>
      </c>
      <c r="F43" s="430" t="s">
        <v>145</v>
      </c>
      <c r="G43" s="260"/>
      <c r="H43" s="260" t="s">
        <v>146</v>
      </c>
      <c r="I43" s="430" t="s">
        <v>145</v>
      </c>
      <c r="J43" s="260"/>
      <c r="K43" s="260" t="s">
        <v>146</v>
      </c>
      <c r="L43" s="430" t="s">
        <v>145</v>
      </c>
      <c r="M43" s="209">
        <f t="shared" si="16"/>
        <v>0</v>
      </c>
      <c r="N43" s="260" t="s">
        <v>146</v>
      </c>
      <c r="O43" s="259" t="s">
        <v>145</v>
      </c>
      <c r="P43" s="258"/>
      <c r="Q43" s="258" t="s">
        <v>146</v>
      </c>
      <c r="R43" s="261" t="s">
        <v>145</v>
      </c>
      <c r="S43" s="209">
        <f t="shared" si="23"/>
        <v>0</v>
      </c>
      <c r="T43" s="258" t="s">
        <v>146</v>
      </c>
      <c r="U43" s="259" t="s">
        <v>145</v>
      </c>
      <c r="V43" s="258"/>
      <c r="W43" s="258" t="s">
        <v>146</v>
      </c>
      <c r="X43" s="259" t="s">
        <v>145</v>
      </c>
      <c r="Y43" s="258"/>
      <c r="Z43" s="258" t="s">
        <v>146</v>
      </c>
      <c r="AA43" s="259" t="s">
        <v>145</v>
      </c>
      <c r="AB43" s="209">
        <f t="shared" si="18"/>
        <v>0</v>
      </c>
      <c r="AC43" s="258" t="s">
        <v>146</v>
      </c>
      <c r="AD43" s="259" t="s">
        <v>145</v>
      </c>
      <c r="AE43" s="258"/>
      <c r="AF43" s="262" t="s">
        <v>146</v>
      </c>
      <c r="AG43" s="209"/>
      <c r="AH43" s="209"/>
      <c r="AI43" s="261" t="s">
        <v>145</v>
      </c>
      <c r="AJ43" s="209">
        <f t="shared" si="33"/>
        <v>0</v>
      </c>
      <c r="AK43" s="258" t="s">
        <v>146</v>
      </c>
      <c r="AL43" s="259" t="s">
        <v>145</v>
      </c>
      <c r="AM43" s="258"/>
      <c r="AN43" s="258" t="s">
        <v>146</v>
      </c>
      <c r="AO43" s="259" t="s">
        <v>145</v>
      </c>
      <c r="AP43" s="258"/>
      <c r="AQ43" s="258" t="s">
        <v>146</v>
      </c>
      <c r="AR43" s="259" t="s">
        <v>145</v>
      </c>
      <c r="AS43" s="209">
        <f t="shared" si="32"/>
        <v>0</v>
      </c>
      <c r="AT43" s="258" t="s">
        <v>146</v>
      </c>
      <c r="AU43" s="259" t="s">
        <v>145</v>
      </c>
      <c r="AV43" s="258"/>
      <c r="AW43" s="262" t="s">
        <v>146</v>
      </c>
      <c r="AX43" s="261" t="s">
        <v>145</v>
      </c>
      <c r="AY43" s="209">
        <f t="shared" si="25"/>
        <v>0</v>
      </c>
      <c r="AZ43" s="258" t="s">
        <v>146</v>
      </c>
      <c r="BA43" s="259" t="s">
        <v>145</v>
      </c>
      <c r="BB43" s="258"/>
      <c r="BC43" s="258" t="s">
        <v>146</v>
      </c>
      <c r="BD43" s="259" t="s">
        <v>145</v>
      </c>
      <c r="BE43" s="258"/>
      <c r="BF43" s="258" t="s">
        <v>146</v>
      </c>
      <c r="BG43" s="259" t="s">
        <v>145</v>
      </c>
      <c r="BH43" s="209">
        <f t="shared" si="26"/>
        <v>0</v>
      </c>
      <c r="BI43" s="258" t="s">
        <v>146</v>
      </c>
      <c r="BJ43" s="259" t="s">
        <v>145</v>
      </c>
      <c r="BK43" s="258"/>
      <c r="BL43" s="258" t="s">
        <v>146</v>
      </c>
      <c r="BM43" s="644">
        <v>33</v>
      </c>
      <c r="BN43" s="579">
        <v>33</v>
      </c>
      <c r="BO43" s="578" t="s">
        <v>184</v>
      </c>
      <c r="BP43" s="258" t="s">
        <v>145</v>
      </c>
      <c r="BQ43" s="209">
        <f t="shared" si="27"/>
        <v>0</v>
      </c>
      <c r="BR43" s="258" t="s">
        <v>146</v>
      </c>
      <c r="BS43" s="259" t="s">
        <v>145</v>
      </c>
      <c r="BT43" s="258"/>
      <c r="BU43" s="258" t="s">
        <v>146</v>
      </c>
      <c r="BV43" s="259" t="s">
        <v>145</v>
      </c>
      <c r="BW43" s="258"/>
      <c r="BX43" s="258" t="s">
        <v>146</v>
      </c>
      <c r="BY43" s="259" t="s">
        <v>145</v>
      </c>
      <c r="BZ43" s="209">
        <f t="shared" si="34"/>
        <v>0</v>
      </c>
      <c r="CA43" s="258" t="s">
        <v>146</v>
      </c>
      <c r="CB43" s="259" t="s">
        <v>145</v>
      </c>
      <c r="CC43" s="258"/>
      <c r="CD43" s="258" t="s">
        <v>146</v>
      </c>
      <c r="CE43" s="261" t="s">
        <v>145</v>
      </c>
      <c r="CF43" s="209">
        <f t="shared" si="28"/>
        <v>0</v>
      </c>
      <c r="CG43" s="258" t="s">
        <v>146</v>
      </c>
      <c r="CH43" s="259" t="s">
        <v>145</v>
      </c>
      <c r="CI43" s="258"/>
      <c r="CJ43" s="258" t="s">
        <v>146</v>
      </c>
      <c r="CK43" s="259" t="s">
        <v>145</v>
      </c>
      <c r="CL43" s="258"/>
      <c r="CM43" s="258" t="s">
        <v>146</v>
      </c>
      <c r="CN43" s="259" t="s">
        <v>145</v>
      </c>
      <c r="CO43" s="209">
        <f t="shared" si="29"/>
        <v>0</v>
      </c>
      <c r="CP43" s="258" t="s">
        <v>146</v>
      </c>
      <c r="CQ43" s="259" t="s">
        <v>145</v>
      </c>
      <c r="CR43" s="258"/>
      <c r="CS43" s="262" t="s">
        <v>146</v>
      </c>
      <c r="CT43" s="209"/>
      <c r="CU43" s="261" t="s">
        <v>145</v>
      </c>
      <c r="CV43" s="209">
        <f t="shared" si="30"/>
        <v>0</v>
      </c>
      <c r="CW43" s="258" t="s">
        <v>146</v>
      </c>
      <c r="CX43" s="259" t="s">
        <v>145</v>
      </c>
      <c r="CY43" s="258"/>
      <c r="CZ43" s="258" t="s">
        <v>146</v>
      </c>
      <c r="DA43" s="259" t="s">
        <v>145</v>
      </c>
      <c r="DB43" s="258"/>
      <c r="DC43" s="258" t="s">
        <v>146</v>
      </c>
      <c r="DD43" s="259" t="s">
        <v>145</v>
      </c>
      <c r="DE43" s="209">
        <f t="shared" si="31"/>
        <v>0</v>
      </c>
      <c r="DF43" s="258" t="s">
        <v>146</v>
      </c>
      <c r="DG43" s="259" t="s">
        <v>145</v>
      </c>
      <c r="DH43" s="258"/>
      <c r="DI43" s="262" t="s">
        <v>146</v>
      </c>
      <c r="DJ43" s="655">
        <v>33</v>
      </c>
      <c r="DK43" s="199"/>
    </row>
    <row r="44" spans="1:115" s="197" customFormat="1" ht="15.75" customHeight="1">
      <c r="A44" s="580"/>
      <c r="B44" s="611"/>
      <c r="C44" s="254"/>
      <c r="D44" s="254">
        <f t="shared" si="22"/>
        <v>0</v>
      </c>
      <c r="E44" s="254"/>
      <c r="F44" s="431"/>
      <c r="G44" s="263"/>
      <c r="H44" s="263"/>
      <c r="I44" s="431"/>
      <c r="J44" s="263"/>
      <c r="K44" s="263"/>
      <c r="L44" s="431"/>
      <c r="M44" s="254">
        <f t="shared" si="16"/>
        <v>0</v>
      </c>
      <c r="N44" s="263"/>
      <c r="O44" s="255"/>
      <c r="P44" s="254"/>
      <c r="Q44" s="254"/>
      <c r="R44" s="264"/>
      <c r="S44" s="254">
        <f t="shared" si="23"/>
        <v>0</v>
      </c>
      <c r="T44" s="254"/>
      <c r="U44" s="255"/>
      <c r="V44" s="254"/>
      <c r="W44" s="254"/>
      <c r="X44" s="255"/>
      <c r="Y44" s="254"/>
      <c r="Z44" s="254"/>
      <c r="AA44" s="255"/>
      <c r="AB44" s="254">
        <f t="shared" si="18"/>
        <v>0</v>
      </c>
      <c r="AC44" s="254"/>
      <c r="AD44" s="255"/>
      <c r="AE44" s="254"/>
      <c r="AF44" s="265"/>
      <c r="AG44" s="209"/>
      <c r="AH44" s="209"/>
      <c r="AI44" s="264"/>
      <c r="AJ44" s="254">
        <f t="shared" si="33"/>
        <v>0</v>
      </c>
      <c r="AK44" s="254"/>
      <c r="AL44" s="255"/>
      <c r="AM44" s="254"/>
      <c r="AN44" s="254"/>
      <c r="AO44" s="255"/>
      <c r="AP44" s="254"/>
      <c r="AQ44" s="254"/>
      <c r="AR44" s="255"/>
      <c r="AS44" s="254">
        <f t="shared" si="32"/>
        <v>0</v>
      </c>
      <c r="AT44" s="254"/>
      <c r="AU44" s="255"/>
      <c r="AV44" s="254"/>
      <c r="AW44" s="265"/>
      <c r="AX44" s="264"/>
      <c r="AY44" s="254">
        <f t="shared" si="25"/>
        <v>0</v>
      </c>
      <c r="AZ44" s="254"/>
      <c r="BA44" s="255"/>
      <c r="BB44" s="254"/>
      <c r="BC44" s="254"/>
      <c r="BD44" s="255"/>
      <c r="BE44" s="254"/>
      <c r="BF44" s="254"/>
      <c r="BG44" s="255"/>
      <c r="BH44" s="254">
        <f t="shared" si="26"/>
        <v>0</v>
      </c>
      <c r="BI44" s="254"/>
      <c r="BJ44" s="255"/>
      <c r="BK44" s="254"/>
      <c r="BL44" s="254"/>
      <c r="BM44" s="645"/>
      <c r="BN44" s="580"/>
      <c r="BO44" s="611"/>
      <c r="BP44" s="254"/>
      <c r="BQ44" s="254">
        <f t="shared" si="27"/>
        <v>0</v>
      </c>
      <c r="BR44" s="254"/>
      <c r="BS44" s="255"/>
      <c r="BT44" s="254"/>
      <c r="BU44" s="254"/>
      <c r="BV44" s="255"/>
      <c r="BW44" s="254"/>
      <c r="BX44" s="254"/>
      <c r="BY44" s="255"/>
      <c r="BZ44" s="254">
        <f t="shared" si="34"/>
        <v>0</v>
      </c>
      <c r="CA44" s="254"/>
      <c r="CB44" s="255"/>
      <c r="CC44" s="254"/>
      <c r="CD44" s="254"/>
      <c r="CE44" s="264"/>
      <c r="CF44" s="254">
        <f t="shared" si="28"/>
        <v>0</v>
      </c>
      <c r="CG44" s="254"/>
      <c r="CH44" s="255"/>
      <c r="CI44" s="254"/>
      <c r="CJ44" s="254"/>
      <c r="CK44" s="255"/>
      <c r="CL44" s="254"/>
      <c r="CM44" s="254"/>
      <c r="CN44" s="255"/>
      <c r="CO44" s="254">
        <f t="shared" si="29"/>
        <v>0</v>
      </c>
      <c r="CP44" s="254"/>
      <c r="CQ44" s="255"/>
      <c r="CR44" s="254"/>
      <c r="CS44" s="265"/>
      <c r="CT44" s="209"/>
      <c r="CU44" s="264"/>
      <c r="CV44" s="254">
        <f t="shared" si="30"/>
        <v>0</v>
      </c>
      <c r="CW44" s="254"/>
      <c r="CX44" s="255"/>
      <c r="CY44" s="254"/>
      <c r="CZ44" s="254"/>
      <c r="DA44" s="255"/>
      <c r="DB44" s="254"/>
      <c r="DC44" s="254"/>
      <c r="DD44" s="255"/>
      <c r="DE44" s="254">
        <f t="shared" si="31"/>
        <v>0</v>
      </c>
      <c r="DF44" s="254"/>
      <c r="DG44" s="255"/>
      <c r="DH44" s="254"/>
      <c r="DI44" s="265"/>
      <c r="DJ44" s="656"/>
      <c r="DK44" s="199"/>
    </row>
    <row r="45" spans="1:115" s="197" customFormat="1" ht="15.75" customHeight="1">
      <c r="A45" s="579">
        <f>A43+1</f>
        <v>33</v>
      </c>
      <c r="B45" s="578" t="s">
        <v>185</v>
      </c>
      <c r="C45" s="209" t="s">
        <v>145</v>
      </c>
      <c r="D45" s="209">
        <f t="shared" si="22"/>
        <v>0</v>
      </c>
      <c r="E45" s="209" t="s">
        <v>146</v>
      </c>
      <c r="F45" s="427" t="s">
        <v>145</v>
      </c>
      <c r="G45" s="252"/>
      <c r="H45" s="252" t="s">
        <v>146</v>
      </c>
      <c r="I45" s="427" t="s">
        <v>145</v>
      </c>
      <c r="J45" s="252"/>
      <c r="K45" s="252" t="s">
        <v>146</v>
      </c>
      <c r="L45" s="427" t="s">
        <v>145</v>
      </c>
      <c r="M45" s="209">
        <f t="shared" si="16"/>
        <v>0</v>
      </c>
      <c r="N45" s="252" t="s">
        <v>146</v>
      </c>
      <c r="O45" s="212" t="s">
        <v>145</v>
      </c>
      <c r="P45" s="209"/>
      <c r="Q45" s="209" t="s">
        <v>146</v>
      </c>
      <c r="R45" s="208" t="s">
        <v>145</v>
      </c>
      <c r="S45" s="209">
        <f t="shared" si="23"/>
        <v>0</v>
      </c>
      <c r="T45" s="209" t="s">
        <v>146</v>
      </c>
      <c r="U45" s="212" t="s">
        <v>145</v>
      </c>
      <c r="V45" s="209"/>
      <c r="W45" s="209" t="s">
        <v>146</v>
      </c>
      <c r="X45" s="212" t="s">
        <v>145</v>
      </c>
      <c r="Y45" s="209"/>
      <c r="Z45" s="209" t="s">
        <v>146</v>
      </c>
      <c r="AA45" s="212" t="s">
        <v>145</v>
      </c>
      <c r="AB45" s="209">
        <f t="shared" si="18"/>
        <v>0</v>
      </c>
      <c r="AC45" s="209" t="s">
        <v>146</v>
      </c>
      <c r="AD45" s="212" t="s">
        <v>145</v>
      </c>
      <c r="AE45" s="209"/>
      <c r="AF45" s="211" t="s">
        <v>146</v>
      </c>
      <c r="AG45" s="209"/>
      <c r="AH45" s="209"/>
      <c r="AI45" s="208" t="s">
        <v>145</v>
      </c>
      <c r="AJ45" s="209">
        <f t="shared" si="33"/>
        <v>0</v>
      </c>
      <c r="AK45" s="209" t="s">
        <v>146</v>
      </c>
      <c r="AL45" s="212" t="s">
        <v>145</v>
      </c>
      <c r="AM45" s="209"/>
      <c r="AN45" s="209" t="s">
        <v>146</v>
      </c>
      <c r="AO45" s="212" t="s">
        <v>145</v>
      </c>
      <c r="AP45" s="209"/>
      <c r="AQ45" s="209" t="s">
        <v>146</v>
      </c>
      <c r="AR45" s="212" t="s">
        <v>145</v>
      </c>
      <c r="AS45" s="209">
        <f t="shared" si="32"/>
        <v>0</v>
      </c>
      <c r="AT45" s="209" t="s">
        <v>146</v>
      </c>
      <c r="AU45" s="212" t="s">
        <v>145</v>
      </c>
      <c r="AV45" s="209"/>
      <c r="AW45" s="211" t="s">
        <v>146</v>
      </c>
      <c r="AX45" s="208" t="s">
        <v>145</v>
      </c>
      <c r="AY45" s="209">
        <f t="shared" si="25"/>
        <v>0</v>
      </c>
      <c r="AZ45" s="209" t="s">
        <v>146</v>
      </c>
      <c r="BA45" s="212" t="s">
        <v>145</v>
      </c>
      <c r="BB45" s="209"/>
      <c r="BC45" s="209" t="s">
        <v>146</v>
      </c>
      <c r="BD45" s="212" t="s">
        <v>145</v>
      </c>
      <c r="BE45" s="209"/>
      <c r="BF45" s="209" t="s">
        <v>146</v>
      </c>
      <c r="BG45" s="212" t="s">
        <v>145</v>
      </c>
      <c r="BH45" s="209">
        <f t="shared" si="26"/>
        <v>0</v>
      </c>
      <c r="BI45" s="209" t="s">
        <v>146</v>
      </c>
      <c r="BJ45" s="212" t="s">
        <v>145</v>
      </c>
      <c r="BK45" s="209"/>
      <c r="BL45" s="209" t="s">
        <v>146</v>
      </c>
      <c r="BM45" s="653">
        <v>34</v>
      </c>
      <c r="BN45" s="579">
        <v>34</v>
      </c>
      <c r="BO45" s="578" t="s">
        <v>185</v>
      </c>
      <c r="BP45" s="209" t="s">
        <v>145</v>
      </c>
      <c r="BQ45" s="209">
        <f t="shared" si="27"/>
        <v>0</v>
      </c>
      <c r="BR45" s="209" t="s">
        <v>146</v>
      </c>
      <c r="BS45" s="212" t="s">
        <v>145</v>
      </c>
      <c r="BT45" s="209"/>
      <c r="BU45" s="209" t="s">
        <v>146</v>
      </c>
      <c r="BV45" s="212" t="s">
        <v>145</v>
      </c>
      <c r="BW45" s="209"/>
      <c r="BX45" s="209" t="s">
        <v>146</v>
      </c>
      <c r="BY45" s="212" t="s">
        <v>145</v>
      </c>
      <c r="BZ45" s="209">
        <f t="shared" si="34"/>
        <v>0</v>
      </c>
      <c r="CA45" s="209" t="s">
        <v>146</v>
      </c>
      <c r="CB45" s="212" t="s">
        <v>145</v>
      </c>
      <c r="CC45" s="209"/>
      <c r="CD45" s="209" t="s">
        <v>146</v>
      </c>
      <c r="CE45" s="208" t="s">
        <v>145</v>
      </c>
      <c r="CF45" s="209">
        <f t="shared" si="28"/>
        <v>5.9582</v>
      </c>
      <c r="CG45" s="209" t="s">
        <v>146</v>
      </c>
      <c r="CH45" s="212" t="s">
        <v>145</v>
      </c>
      <c r="CI45" s="209"/>
      <c r="CJ45" s="209" t="s">
        <v>146</v>
      </c>
      <c r="CK45" s="212" t="s">
        <v>145</v>
      </c>
      <c r="CL45" s="209"/>
      <c r="CM45" s="209" t="s">
        <v>146</v>
      </c>
      <c r="CN45" s="212" t="s">
        <v>145</v>
      </c>
      <c r="CO45" s="209">
        <f t="shared" si="29"/>
        <v>0</v>
      </c>
      <c r="CP45" s="209" t="s">
        <v>146</v>
      </c>
      <c r="CQ45" s="212" t="s">
        <v>145</v>
      </c>
      <c r="CR45" s="209">
        <v>5.9582</v>
      </c>
      <c r="CS45" s="262" t="s">
        <v>146</v>
      </c>
      <c r="CT45" s="209"/>
      <c r="CU45" s="208" t="s">
        <v>145</v>
      </c>
      <c r="CV45" s="209">
        <f t="shared" si="30"/>
        <v>0</v>
      </c>
      <c r="CW45" s="209" t="s">
        <v>146</v>
      </c>
      <c r="CX45" s="212" t="s">
        <v>145</v>
      </c>
      <c r="CY45" s="209"/>
      <c r="CZ45" s="209" t="s">
        <v>146</v>
      </c>
      <c r="DA45" s="212" t="s">
        <v>145</v>
      </c>
      <c r="DB45" s="209"/>
      <c r="DC45" s="209" t="s">
        <v>146</v>
      </c>
      <c r="DD45" s="212" t="s">
        <v>145</v>
      </c>
      <c r="DE45" s="209">
        <f t="shared" si="31"/>
        <v>0</v>
      </c>
      <c r="DF45" s="209" t="s">
        <v>146</v>
      </c>
      <c r="DG45" s="212" t="s">
        <v>145</v>
      </c>
      <c r="DH45" s="209"/>
      <c r="DI45" s="211" t="s">
        <v>146</v>
      </c>
      <c r="DJ45" s="650">
        <v>34</v>
      </c>
      <c r="DK45" s="199"/>
    </row>
    <row r="46" spans="1:115" s="197" customFormat="1" ht="15.75" customHeight="1">
      <c r="A46" s="580"/>
      <c r="B46" s="574"/>
      <c r="C46" s="209"/>
      <c r="D46" s="254">
        <f t="shared" si="22"/>
        <v>0</v>
      </c>
      <c r="E46" s="209"/>
      <c r="F46" s="427"/>
      <c r="G46" s="252"/>
      <c r="H46" s="252"/>
      <c r="I46" s="427"/>
      <c r="J46" s="252"/>
      <c r="K46" s="252"/>
      <c r="L46" s="427"/>
      <c r="M46" s="254">
        <f t="shared" si="16"/>
        <v>0</v>
      </c>
      <c r="N46" s="252"/>
      <c r="O46" s="212"/>
      <c r="P46" s="209"/>
      <c r="Q46" s="209"/>
      <c r="R46" s="208"/>
      <c r="S46" s="254">
        <f t="shared" si="23"/>
        <v>0</v>
      </c>
      <c r="T46" s="209"/>
      <c r="U46" s="212"/>
      <c r="V46" s="209"/>
      <c r="W46" s="209"/>
      <c r="X46" s="212"/>
      <c r="Y46" s="209"/>
      <c r="Z46" s="209"/>
      <c r="AA46" s="212"/>
      <c r="AB46" s="254">
        <f t="shared" si="18"/>
        <v>0</v>
      </c>
      <c r="AC46" s="209"/>
      <c r="AD46" s="212"/>
      <c r="AE46" s="209"/>
      <c r="AF46" s="211"/>
      <c r="AG46" s="209"/>
      <c r="AH46" s="209"/>
      <c r="AI46" s="208"/>
      <c r="AJ46" s="254">
        <f t="shared" si="33"/>
        <v>0</v>
      </c>
      <c r="AK46" s="209"/>
      <c r="AL46" s="212"/>
      <c r="AM46" s="209"/>
      <c r="AN46" s="209"/>
      <c r="AO46" s="212"/>
      <c r="AP46" s="209"/>
      <c r="AQ46" s="209"/>
      <c r="AR46" s="212"/>
      <c r="AS46" s="254">
        <f t="shared" si="32"/>
        <v>0</v>
      </c>
      <c r="AT46" s="209"/>
      <c r="AU46" s="212"/>
      <c r="AV46" s="209"/>
      <c r="AW46" s="211"/>
      <c r="AX46" s="208"/>
      <c r="AY46" s="254">
        <f t="shared" si="25"/>
        <v>0</v>
      </c>
      <c r="AZ46" s="209"/>
      <c r="BA46" s="212"/>
      <c r="BB46" s="209"/>
      <c r="BC46" s="209"/>
      <c r="BD46" s="212"/>
      <c r="BE46" s="209"/>
      <c r="BF46" s="209"/>
      <c r="BG46" s="212"/>
      <c r="BH46" s="254">
        <f t="shared" si="26"/>
        <v>0</v>
      </c>
      <c r="BI46" s="209"/>
      <c r="BJ46" s="212"/>
      <c r="BK46" s="209"/>
      <c r="BL46" s="209"/>
      <c r="BM46" s="653"/>
      <c r="BN46" s="572"/>
      <c r="BO46" s="574"/>
      <c r="BP46" s="209"/>
      <c r="BQ46" s="254">
        <f t="shared" si="27"/>
        <v>0.0092</v>
      </c>
      <c r="BR46" s="209"/>
      <c r="BS46" s="212"/>
      <c r="BT46" s="209"/>
      <c r="BU46" s="209"/>
      <c r="BV46" s="212"/>
      <c r="BW46" s="209"/>
      <c r="BX46" s="209"/>
      <c r="BY46" s="212"/>
      <c r="BZ46" s="254">
        <f t="shared" si="34"/>
        <v>0</v>
      </c>
      <c r="CA46" s="209"/>
      <c r="CB46" s="212"/>
      <c r="CC46" s="291">
        <v>0.0092</v>
      </c>
      <c r="CD46" s="209"/>
      <c r="CE46" s="208"/>
      <c r="CF46" s="254">
        <f t="shared" si="28"/>
        <v>0</v>
      </c>
      <c r="CG46" s="209"/>
      <c r="CH46" s="212"/>
      <c r="CI46" s="209"/>
      <c r="CJ46" s="209"/>
      <c r="CK46" s="212"/>
      <c r="CL46" s="209"/>
      <c r="CM46" s="209"/>
      <c r="CN46" s="212"/>
      <c r="CO46" s="254">
        <f t="shared" si="29"/>
        <v>0</v>
      </c>
      <c r="CP46" s="209"/>
      <c r="CQ46" s="212"/>
      <c r="CR46" s="209"/>
      <c r="CS46" s="211"/>
      <c r="CT46" s="209"/>
      <c r="CU46" s="208"/>
      <c r="CV46" s="254">
        <f t="shared" si="30"/>
        <v>0</v>
      </c>
      <c r="CW46" s="209"/>
      <c r="CX46" s="212"/>
      <c r="CY46" s="209"/>
      <c r="CZ46" s="209"/>
      <c r="DA46" s="212"/>
      <c r="DB46" s="209"/>
      <c r="DC46" s="209"/>
      <c r="DD46" s="212"/>
      <c r="DE46" s="254">
        <f t="shared" si="31"/>
        <v>0</v>
      </c>
      <c r="DF46" s="209"/>
      <c r="DG46" s="212"/>
      <c r="DH46" s="209"/>
      <c r="DI46" s="211"/>
      <c r="DJ46" s="650"/>
      <c r="DK46" s="199"/>
    </row>
    <row r="47" spans="1:115" s="197" customFormat="1" ht="15.75" customHeight="1">
      <c r="A47" s="579">
        <f>A45+1</f>
        <v>34</v>
      </c>
      <c r="B47" s="578" t="s">
        <v>186</v>
      </c>
      <c r="C47" s="261" t="s">
        <v>145</v>
      </c>
      <c r="D47" s="209">
        <f t="shared" si="22"/>
        <v>0</v>
      </c>
      <c r="E47" s="258" t="s">
        <v>146</v>
      </c>
      <c r="F47" s="430" t="s">
        <v>145</v>
      </c>
      <c r="G47" s="260"/>
      <c r="H47" s="260" t="s">
        <v>146</v>
      </c>
      <c r="I47" s="430" t="s">
        <v>145</v>
      </c>
      <c r="J47" s="260"/>
      <c r="K47" s="260" t="s">
        <v>146</v>
      </c>
      <c r="L47" s="430" t="s">
        <v>145</v>
      </c>
      <c r="M47" s="209">
        <f t="shared" si="16"/>
        <v>0</v>
      </c>
      <c r="N47" s="260" t="s">
        <v>146</v>
      </c>
      <c r="O47" s="259" t="s">
        <v>145</v>
      </c>
      <c r="P47" s="258"/>
      <c r="Q47" s="258" t="s">
        <v>146</v>
      </c>
      <c r="R47" s="261" t="s">
        <v>145</v>
      </c>
      <c r="S47" s="209">
        <f t="shared" si="23"/>
        <v>0</v>
      </c>
      <c r="T47" s="258" t="s">
        <v>146</v>
      </c>
      <c r="U47" s="259" t="s">
        <v>145</v>
      </c>
      <c r="V47" s="258"/>
      <c r="W47" s="258" t="s">
        <v>146</v>
      </c>
      <c r="X47" s="259" t="s">
        <v>145</v>
      </c>
      <c r="Y47" s="258"/>
      <c r="Z47" s="258" t="s">
        <v>146</v>
      </c>
      <c r="AA47" s="259" t="s">
        <v>145</v>
      </c>
      <c r="AB47" s="209">
        <f t="shared" si="18"/>
        <v>0</v>
      </c>
      <c r="AC47" s="258" t="s">
        <v>146</v>
      </c>
      <c r="AD47" s="259" t="s">
        <v>145</v>
      </c>
      <c r="AE47" s="258"/>
      <c r="AF47" s="262" t="s">
        <v>146</v>
      </c>
      <c r="AG47" s="209"/>
      <c r="AH47" s="209"/>
      <c r="AI47" s="261" t="s">
        <v>145</v>
      </c>
      <c r="AJ47" s="209">
        <f t="shared" si="33"/>
        <v>0</v>
      </c>
      <c r="AK47" s="258" t="s">
        <v>146</v>
      </c>
      <c r="AL47" s="259" t="s">
        <v>145</v>
      </c>
      <c r="AM47" s="258"/>
      <c r="AN47" s="258" t="s">
        <v>146</v>
      </c>
      <c r="AO47" s="259" t="s">
        <v>145</v>
      </c>
      <c r="AP47" s="258"/>
      <c r="AQ47" s="258" t="s">
        <v>146</v>
      </c>
      <c r="AR47" s="259" t="s">
        <v>145</v>
      </c>
      <c r="AS47" s="209">
        <f t="shared" si="32"/>
        <v>0</v>
      </c>
      <c r="AT47" s="258" t="s">
        <v>146</v>
      </c>
      <c r="AU47" s="259" t="s">
        <v>145</v>
      </c>
      <c r="AV47" s="258"/>
      <c r="AW47" s="262" t="s">
        <v>146</v>
      </c>
      <c r="AX47" s="261" t="s">
        <v>145</v>
      </c>
      <c r="AY47" s="209">
        <f t="shared" si="25"/>
        <v>0</v>
      </c>
      <c r="AZ47" s="258" t="s">
        <v>146</v>
      </c>
      <c r="BA47" s="259" t="s">
        <v>145</v>
      </c>
      <c r="BB47" s="258"/>
      <c r="BC47" s="258" t="s">
        <v>146</v>
      </c>
      <c r="BD47" s="259" t="s">
        <v>145</v>
      </c>
      <c r="BE47" s="258"/>
      <c r="BF47" s="258" t="s">
        <v>146</v>
      </c>
      <c r="BG47" s="259" t="s">
        <v>145</v>
      </c>
      <c r="BH47" s="209">
        <f t="shared" si="26"/>
        <v>0</v>
      </c>
      <c r="BI47" s="258" t="s">
        <v>146</v>
      </c>
      <c r="BJ47" s="259" t="s">
        <v>145</v>
      </c>
      <c r="BK47" s="258"/>
      <c r="BL47" s="262" t="s">
        <v>146</v>
      </c>
      <c r="BM47" s="644">
        <v>35</v>
      </c>
      <c r="BN47" s="579">
        <v>35</v>
      </c>
      <c r="BO47" s="578" t="s">
        <v>199</v>
      </c>
      <c r="BP47" s="258" t="s">
        <v>145</v>
      </c>
      <c r="BQ47" s="209">
        <f t="shared" si="27"/>
        <v>0</v>
      </c>
      <c r="BR47" s="258" t="s">
        <v>146</v>
      </c>
      <c r="BS47" s="259" t="s">
        <v>145</v>
      </c>
      <c r="BT47" s="258"/>
      <c r="BU47" s="258" t="s">
        <v>146</v>
      </c>
      <c r="BV47" s="259" t="s">
        <v>145</v>
      </c>
      <c r="BW47" s="258"/>
      <c r="BX47" s="258" t="s">
        <v>146</v>
      </c>
      <c r="BY47" s="259" t="s">
        <v>145</v>
      </c>
      <c r="BZ47" s="209">
        <f t="shared" si="34"/>
        <v>0</v>
      </c>
      <c r="CA47" s="258" t="s">
        <v>146</v>
      </c>
      <c r="CB47" s="259" t="s">
        <v>145</v>
      </c>
      <c r="CC47" s="258"/>
      <c r="CD47" s="258" t="s">
        <v>146</v>
      </c>
      <c r="CE47" s="261" t="s">
        <v>145</v>
      </c>
      <c r="CF47" s="209">
        <f t="shared" si="28"/>
        <v>117.80909999999999</v>
      </c>
      <c r="CG47" s="258" t="s">
        <v>146</v>
      </c>
      <c r="CH47" s="259" t="s">
        <v>145</v>
      </c>
      <c r="CI47" s="258"/>
      <c r="CJ47" s="258" t="s">
        <v>146</v>
      </c>
      <c r="CK47" s="259" t="s">
        <v>145</v>
      </c>
      <c r="CL47" s="258">
        <v>0.57</v>
      </c>
      <c r="CM47" s="258" t="s">
        <v>146</v>
      </c>
      <c r="CN47" s="259" t="s">
        <v>145</v>
      </c>
      <c r="CO47" s="209">
        <f t="shared" si="29"/>
        <v>0.57</v>
      </c>
      <c r="CP47" s="258" t="s">
        <v>146</v>
      </c>
      <c r="CQ47" s="259" t="s">
        <v>145</v>
      </c>
      <c r="CR47" s="258">
        <v>117.2391</v>
      </c>
      <c r="CS47" s="262" t="s">
        <v>146</v>
      </c>
      <c r="CT47" s="209"/>
      <c r="CU47" s="261" t="s">
        <v>145</v>
      </c>
      <c r="CV47" s="209">
        <f t="shared" si="30"/>
        <v>0</v>
      </c>
      <c r="CW47" s="258" t="s">
        <v>146</v>
      </c>
      <c r="CX47" s="259" t="s">
        <v>145</v>
      </c>
      <c r="CY47" s="258"/>
      <c r="CZ47" s="258" t="s">
        <v>146</v>
      </c>
      <c r="DA47" s="259" t="s">
        <v>145</v>
      </c>
      <c r="DB47" s="258"/>
      <c r="DC47" s="258" t="s">
        <v>146</v>
      </c>
      <c r="DD47" s="259" t="s">
        <v>145</v>
      </c>
      <c r="DE47" s="209">
        <f t="shared" si="31"/>
        <v>0</v>
      </c>
      <c r="DF47" s="258" t="s">
        <v>146</v>
      </c>
      <c r="DG47" s="259" t="s">
        <v>145</v>
      </c>
      <c r="DH47" s="258"/>
      <c r="DI47" s="262" t="s">
        <v>146</v>
      </c>
      <c r="DJ47" s="655">
        <v>35</v>
      </c>
      <c r="DK47" s="199"/>
    </row>
    <row r="48" spans="1:115" s="197" customFormat="1" ht="15.75" customHeight="1" thickBot="1">
      <c r="A48" s="614"/>
      <c r="B48" s="615"/>
      <c r="C48" s="216"/>
      <c r="D48" s="217">
        <f t="shared" si="22"/>
        <v>0</v>
      </c>
      <c r="E48" s="217"/>
      <c r="F48" s="432"/>
      <c r="G48" s="280"/>
      <c r="H48" s="280"/>
      <c r="I48" s="432"/>
      <c r="J48" s="280"/>
      <c r="K48" s="280"/>
      <c r="L48" s="432"/>
      <c r="M48" s="217">
        <f t="shared" si="16"/>
        <v>0</v>
      </c>
      <c r="N48" s="280"/>
      <c r="O48" s="218"/>
      <c r="P48" s="217"/>
      <c r="Q48" s="217"/>
      <c r="R48" s="216"/>
      <c r="S48" s="217">
        <f t="shared" si="23"/>
        <v>0</v>
      </c>
      <c r="T48" s="217"/>
      <c r="U48" s="218"/>
      <c r="V48" s="217"/>
      <c r="W48" s="217"/>
      <c r="X48" s="218"/>
      <c r="Y48" s="217"/>
      <c r="Z48" s="217"/>
      <c r="AA48" s="218"/>
      <c r="AB48" s="217">
        <f t="shared" si="18"/>
        <v>0</v>
      </c>
      <c r="AC48" s="217"/>
      <c r="AD48" s="218"/>
      <c r="AE48" s="217"/>
      <c r="AF48" s="219"/>
      <c r="AG48" s="209"/>
      <c r="AH48" s="209"/>
      <c r="AI48" s="216"/>
      <c r="AJ48" s="217">
        <f t="shared" si="33"/>
        <v>0</v>
      </c>
      <c r="AK48" s="217"/>
      <c r="AL48" s="218"/>
      <c r="AM48" s="217"/>
      <c r="AN48" s="217"/>
      <c r="AO48" s="218"/>
      <c r="AP48" s="217"/>
      <c r="AQ48" s="217"/>
      <c r="AR48" s="218"/>
      <c r="AS48" s="217">
        <f t="shared" si="32"/>
        <v>0</v>
      </c>
      <c r="AT48" s="217"/>
      <c r="AU48" s="218"/>
      <c r="AV48" s="217"/>
      <c r="AW48" s="219"/>
      <c r="AX48" s="216"/>
      <c r="AY48" s="217">
        <f t="shared" si="25"/>
        <v>0</v>
      </c>
      <c r="AZ48" s="217"/>
      <c r="BA48" s="218"/>
      <c r="BB48" s="217"/>
      <c r="BC48" s="217"/>
      <c r="BD48" s="218"/>
      <c r="BE48" s="217"/>
      <c r="BF48" s="217"/>
      <c r="BG48" s="218"/>
      <c r="BH48" s="217">
        <f t="shared" si="26"/>
        <v>0</v>
      </c>
      <c r="BI48" s="217"/>
      <c r="BJ48" s="218"/>
      <c r="BK48" s="217"/>
      <c r="BL48" s="219"/>
      <c r="BM48" s="721"/>
      <c r="BN48" s="614"/>
      <c r="BO48" s="615"/>
      <c r="BP48" s="217"/>
      <c r="BQ48" s="209">
        <f t="shared" si="27"/>
        <v>1.03</v>
      </c>
      <c r="BR48" s="217"/>
      <c r="BS48" s="218"/>
      <c r="BT48" s="217">
        <v>1.03</v>
      </c>
      <c r="BU48" s="217"/>
      <c r="BV48" s="218"/>
      <c r="BW48" s="217"/>
      <c r="BX48" s="217"/>
      <c r="BY48" s="218"/>
      <c r="BZ48" s="217">
        <f t="shared" si="34"/>
        <v>1.03</v>
      </c>
      <c r="CA48" s="217"/>
      <c r="CB48" s="218"/>
      <c r="CC48" s="217"/>
      <c r="CD48" s="217"/>
      <c r="CE48" s="216"/>
      <c r="CF48" s="209">
        <f t="shared" si="28"/>
        <v>0</v>
      </c>
      <c r="CG48" s="217"/>
      <c r="CH48" s="218"/>
      <c r="CI48" s="217"/>
      <c r="CJ48" s="217"/>
      <c r="CK48" s="218"/>
      <c r="CL48" s="217"/>
      <c r="CM48" s="217"/>
      <c r="CN48" s="218"/>
      <c r="CO48" s="209">
        <f t="shared" si="29"/>
        <v>0</v>
      </c>
      <c r="CP48" s="217"/>
      <c r="CQ48" s="218"/>
      <c r="CR48" s="217"/>
      <c r="CS48" s="219"/>
      <c r="CT48" s="209"/>
      <c r="CU48" s="216"/>
      <c r="CV48" s="217">
        <f t="shared" si="30"/>
        <v>0</v>
      </c>
      <c r="CW48" s="217"/>
      <c r="CX48" s="218"/>
      <c r="CY48" s="217"/>
      <c r="CZ48" s="217"/>
      <c r="DA48" s="218"/>
      <c r="DB48" s="217"/>
      <c r="DC48" s="217"/>
      <c r="DD48" s="218"/>
      <c r="DE48" s="217">
        <f t="shared" si="31"/>
        <v>0</v>
      </c>
      <c r="DF48" s="217"/>
      <c r="DG48" s="218"/>
      <c r="DH48" s="217"/>
      <c r="DI48" s="219"/>
      <c r="DJ48" s="722"/>
      <c r="DK48" s="199"/>
    </row>
    <row r="49" spans="1:115" s="245" customFormat="1" ht="15.75" customHeight="1">
      <c r="A49" s="625"/>
      <c r="B49" s="661" t="s">
        <v>291</v>
      </c>
      <c r="C49" s="276" t="s">
        <v>145</v>
      </c>
      <c r="D49" s="220">
        <f t="shared" si="22"/>
        <v>0</v>
      </c>
      <c r="E49" s="220" t="s">
        <v>146</v>
      </c>
      <c r="F49" s="221" t="s">
        <v>145</v>
      </c>
      <c r="G49" s="220">
        <f>G51+G53+G55+G57</f>
        <v>0</v>
      </c>
      <c r="H49" s="222" t="s">
        <v>146</v>
      </c>
      <c r="I49" s="220" t="s">
        <v>145</v>
      </c>
      <c r="J49" s="220">
        <f>J51+J53+J55+J57</f>
        <v>0</v>
      </c>
      <c r="K49" s="220" t="s">
        <v>146</v>
      </c>
      <c r="L49" s="221" t="s">
        <v>145</v>
      </c>
      <c r="M49" s="220">
        <f t="shared" si="16"/>
        <v>0</v>
      </c>
      <c r="N49" s="220" t="s">
        <v>146</v>
      </c>
      <c r="O49" s="223" t="s">
        <v>145</v>
      </c>
      <c r="P49" s="220">
        <f>P51+P53+P55+P57</f>
        <v>0</v>
      </c>
      <c r="Q49" s="224" t="s">
        <v>146</v>
      </c>
      <c r="R49" s="277" t="s">
        <v>145</v>
      </c>
      <c r="S49" s="220">
        <f t="shared" si="23"/>
        <v>0</v>
      </c>
      <c r="T49" s="220" t="s">
        <v>146</v>
      </c>
      <c r="U49" s="221" t="s">
        <v>145</v>
      </c>
      <c r="V49" s="220">
        <f>V51+V53+V55+V57</f>
        <v>0</v>
      </c>
      <c r="W49" s="222" t="s">
        <v>146</v>
      </c>
      <c r="X49" s="220" t="s">
        <v>145</v>
      </c>
      <c r="Y49" s="220">
        <f>Y51+Y53+Y55+Y57</f>
        <v>0</v>
      </c>
      <c r="Z49" s="220" t="s">
        <v>146</v>
      </c>
      <c r="AA49" s="221" t="s">
        <v>145</v>
      </c>
      <c r="AB49" s="220">
        <f t="shared" si="18"/>
        <v>0</v>
      </c>
      <c r="AC49" s="220" t="s">
        <v>146</v>
      </c>
      <c r="AD49" s="223" t="s">
        <v>145</v>
      </c>
      <c r="AE49" s="220">
        <f>AE51+AE53+AE55+AE57</f>
        <v>0</v>
      </c>
      <c r="AF49" s="242" t="s">
        <v>146</v>
      </c>
      <c r="AG49" s="224"/>
      <c r="AH49" s="224"/>
      <c r="AI49" s="277" t="s">
        <v>145</v>
      </c>
      <c r="AJ49" s="220">
        <f>AJ51+AJ53+AJ55+AJ57</f>
        <v>0</v>
      </c>
      <c r="AK49" s="220" t="s">
        <v>146</v>
      </c>
      <c r="AL49" s="221" t="s">
        <v>145</v>
      </c>
      <c r="AM49" s="220">
        <f>AM51+AM53+AM55+AM57</f>
        <v>0</v>
      </c>
      <c r="AN49" s="222" t="s">
        <v>146</v>
      </c>
      <c r="AO49" s="220" t="s">
        <v>145</v>
      </c>
      <c r="AP49" s="220">
        <f>AP51+AP53+AP55+AP57</f>
        <v>0</v>
      </c>
      <c r="AQ49" s="220" t="s">
        <v>146</v>
      </c>
      <c r="AR49" s="221" t="s">
        <v>145</v>
      </c>
      <c r="AS49" s="220">
        <f>AS51+AS53+AS55+AS57</f>
        <v>0</v>
      </c>
      <c r="AT49" s="220" t="s">
        <v>146</v>
      </c>
      <c r="AU49" s="223" t="s">
        <v>145</v>
      </c>
      <c r="AV49" s="220">
        <f>AV51+AV53+AV55+AV57</f>
        <v>0</v>
      </c>
      <c r="AW49" s="242" t="s">
        <v>146</v>
      </c>
      <c r="AX49" s="277" t="s">
        <v>145</v>
      </c>
      <c r="AY49" s="220">
        <f t="shared" si="25"/>
        <v>0</v>
      </c>
      <c r="AZ49" s="220" t="s">
        <v>146</v>
      </c>
      <c r="BA49" s="221" t="s">
        <v>145</v>
      </c>
      <c r="BB49" s="220">
        <f>BB51+BB53+BB55+BB57</f>
        <v>0</v>
      </c>
      <c r="BC49" s="222" t="s">
        <v>146</v>
      </c>
      <c r="BD49" s="220" t="s">
        <v>145</v>
      </c>
      <c r="BE49" s="220">
        <f>BE51+BE53+BE55+BE57</f>
        <v>0</v>
      </c>
      <c r="BF49" s="220" t="s">
        <v>146</v>
      </c>
      <c r="BG49" s="221" t="s">
        <v>145</v>
      </c>
      <c r="BH49" s="220">
        <f t="shared" si="26"/>
        <v>0</v>
      </c>
      <c r="BI49" s="220" t="s">
        <v>146</v>
      </c>
      <c r="BJ49" s="223" t="s">
        <v>145</v>
      </c>
      <c r="BK49" s="220">
        <f>BK51+BK53+BK55+BK57</f>
        <v>0</v>
      </c>
      <c r="BL49" s="224" t="s">
        <v>146</v>
      </c>
      <c r="BM49" s="300"/>
      <c r="BN49" s="625"/>
      <c r="BO49" s="661" t="s">
        <v>291</v>
      </c>
      <c r="BP49" s="276" t="s">
        <v>145</v>
      </c>
      <c r="BQ49" s="230">
        <f t="shared" si="27"/>
        <v>0</v>
      </c>
      <c r="BR49" s="220" t="s">
        <v>146</v>
      </c>
      <c r="BS49" s="221" t="s">
        <v>145</v>
      </c>
      <c r="BT49" s="220">
        <f>BT51+BT53+BT55+BT57</f>
        <v>0</v>
      </c>
      <c r="BU49" s="222" t="s">
        <v>146</v>
      </c>
      <c r="BV49" s="220" t="s">
        <v>145</v>
      </c>
      <c r="BW49" s="220">
        <f>BW51+BW53+BW55+BW57</f>
        <v>0</v>
      </c>
      <c r="BX49" s="220" t="s">
        <v>146</v>
      </c>
      <c r="BY49" s="221" t="s">
        <v>145</v>
      </c>
      <c r="BZ49" s="220">
        <f t="shared" si="34"/>
        <v>0</v>
      </c>
      <c r="CA49" s="220" t="s">
        <v>146</v>
      </c>
      <c r="CB49" s="223" t="s">
        <v>145</v>
      </c>
      <c r="CC49" s="220">
        <f>CC51+CC53+CC55+CC57</f>
        <v>0</v>
      </c>
      <c r="CD49" s="224" t="s">
        <v>146</v>
      </c>
      <c r="CE49" s="277" t="s">
        <v>145</v>
      </c>
      <c r="CF49" s="230">
        <f t="shared" si="28"/>
        <v>406.58669999999995</v>
      </c>
      <c r="CG49" s="220" t="s">
        <v>146</v>
      </c>
      <c r="CH49" s="221" t="s">
        <v>145</v>
      </c>
      <c r="CI49" s="220">
        <f>CI51+CI53+CI55+CI57</f>
        <v>269.0541</v>
      </c>
      <c r="CJ49" s="222" t="s">
        <v>146</v>
      </c>
      <c r="CK49" s="220" t="s">
        <v>145</v>
      </c>
      <c r="CL49" s="220">
        <f>CL51+CL53+CL55+CL57</f>
        <v>0</v>
      </c>
      <c r="CM49" s="220" t="s">
        <v>146</v>
      </c>
      <c r="CN49" s="221" t="s">
        <v>145</v>
      </c>
      <c r="CO49" s="230">
        <f t="shared" si="29"/>
        <v>269.0541</v>
      </c>
      <c r="CP49" s="220" t="s">
        <v>146</v>
      </c>
      <c r="CQ49" s="223" t="s">
        <v>145</v>
      </c>
      <c r="CR49" s="220">
        <f>CR51+CR53+CR55+CR57</f>
        <v>137.53259999999997</v>
      </c>
      <c r="CS49" s="242" t="s">
        <v>146</v>
      </c>
      <c r="CT49" s="224"/>
      <c r="CU49" s="277" t="s">
        <v>145</v>
      </c>
      <c r="CV49" s="220">
        <f t="shared" si="30"/>
        <v>0</v>
      </c>
      <c r="CW49" s="220" t="s">
        <v>146</v>
      </c>
      <c r="CX49" s="221" t="s">
        <v>145</v>
      </c>
      <c r="CY49" s="220">
        <f>CY51+CY53+CY55+CY57</f>
        <v>0</v>
      </c>
      <c r="CZ49" s="222" t="s">
        <v>146</v>
      </c>
      <c r="DA49" s="220" t="s">
        <v>145</v>
      </c>
      <c r="DB49" s="220">
        <f>DB51+DB53+DB55+DB57</f>
        <v>0</v>
      </c>
      <c r="DC49" s="220" t="s">
        <v>146</v>
      </c>
      <c r="DD49" s="221" t="s">
        <v>145</v>
      </c>
      <c r="DE49" s="220">
        <f t="shared" si="31"/>
        <v>0</v>
      </c>
      <c r="DF49" s="220" t="s">
        <v>146</v>
      </c>
      <c r="DG49" s="223" t="s">
        <v>145</v>
      </c>
      <c r="DH49" s="220">
        <f>DH51+DH53+DH55+DH57</f>
        <v>0</v>
      </c>
      <c r="DI49" s="224" t="s">
        <v>146</v>
      </c>
      <c r="DJ49" s="300"/>
      <c r="DK49" s="228"/>
    </row>
    <row r="50" spans="1:115" s="245" customFormat="1" ht="15.75" customHeight="1" thickBot="1">
      <c r="A50" s="651"/>
      <c r="B50" s="652"/>
      <c r="C50" s="246"/>
      <c r="D50" s="237">
        <f t="shared" si="22"/>
        <v>0</v>
      </c>
      <c r="E50" s="237"/>
      <c r="F50" s="238"/>
      <c r="G50" s="237">
        <f>G52+G54+G56+G58</f>
        <v>0</v>
      </c>
      <c r="H50" s="239"/>
      <c r="I50" s="237"/>
      <c r="J50" s="237">
        <f>J52+J54+J56+J58</f>
        <v>0</v>
      </c>
      <c r="K50" s="237"/>
      <c r="L50" s="238"/>
      <c r="M50" s="237">
        <f t="shared" si="16"/>
        <v>0</v>
      </c>
      <c r="N50" s="237"/>
      <c r="O50" s="240"/>
      <c r="P50" s="237">
        <f>P52+P54+P56+P58</f>
        <v>0</v>
      </c>
      <c r="Q50" s="241"/>
      <c r="R50" s="246"/>
      <c r="S50" s="237">
        <f t="shared" si="23"/>
        <v>0</v>
      </c>
      <c r="T50" s="237"/>
      <c r="U50" s="238"/>
      <c r="V50" s="237">
        <f>V52+V54+V56+V58</f>
        <v>0</v>
      </c>
      <c r="W50" s="239"/>
      <c r="X50" s="237"/>
      <c r="Y50" s="237">
        <f>Y52+Y54+Y56+Y58</f>
        <v>0</v>
      </c>
      <c r="Z50" s="237"/>
      <c r="AA50" s="238"/>
      <c r="AB50" s="237">
        <f t="shared" si="18"/>
        <v>0</v>
      </c>
      <c r="AC50" s="237"/>
      <c r="AD50" s="240"/>
      <c r="AE50" s="237">
        <f>AE52+AE54+AE56+AE58</f>
        <v>0</v>
      </c>
      <c r="AF50" s="247"/>
      <c r="AG50" s="224"/>
      <c r="AH50" s="224"/>
      <c r="AI50" s="246"/>
      <c r="AJ50" s="237">
        <f>AJ52+AJ54+AJ56+AJ58</f>
        <v>105.9149</v>
      </c>
      <c r="AK50" s="237"/>
      <c r="AL50" s="238"/>
      <c r="AM50" s="237">
        <f>AM52+AM54+AM56+AM58</f>
        <v>0</v>
      </c>
      <c r="AN50" s="239"/>
      <c r="AO50" s="237"/>
      <c r="AP50" s="237">
        <f>AP52+AP54+AP56+AP58</f>
        <v>0.7092</v>
      </c>
      <c r="AQ50" s="237"/>
      <c r="AR50" s="238"/>
      <c r="AS50" s="237">
        <f>AS52+AS54+AS56+AS58</f>
        <v>0.7092</v>
      </c>
      <c r="AT50" s="237"/>
      <c r="AU50" s="240"/>
      <c r="AV50" s="237">
        <f>AV52+AV54+AV56+AV58</f>
        <v>105.20570000000001</v>
      </c>
      <c r="AW50" s="247"/>
      <c r="AX50" s="246"/>
      <c r="AY50" s="237">
        <f t="shared" si="25"/>
        <v>0</v>
      </c>
      <c r="AZ50" s="237"/>
      <c r="BA50" s="238"/>
      <c r="BB50" s="237">
        <f>BB52+BB54+BB56+BB58</f>
        <v>0</v>
      </c>
      <c r="BC50" s="239"/>
      <c r="BD50" s="237"/>
      <c r="BE50" s="237">
        <f>BE52+BE54+BE56+BE58</f>
        <v>0</v>
      </c>
      <c r="BF50" s="237"/>
      <c r="BG50" s="238"/>
      <c r="BH50" s="237">
        <f t="shared" si="26"/>
        <v>0</v>
      </c>
      <c r="BI50" s="237"/>
      <c r="BJ50" s="240"/>
      <c r="BK50" s="237">
        <f>BK52+BK54+BK56+BK58</f>
        <v>0</v>
      </c>
      <c r="BL50" s="241"/>
      <c r="BM50" s="304"/>
      <c r="BN50" s="651"/>
      <c r="BO50" s="652"/>
      <c r="BP50" s="236"/>
      <c r="BQ50" s="321">
        <f t="shared" si="27"/>
        <v>0.3883</v>
      </c>
      <c r="BR50" s="237"/>
      <c r="BS50" s="238"/>
      <c r="BT50" s="321">
        <f>BT52+BT54+BT56+BT58</f>
        <v>0</v>
      </c>
      <c r="BU50" s="239"/>
      <c r="BV50" s="237"/>
      <c r="BW50" s="321">
        <f>BW52+BW54+BW56+BW58</f>
        <v>0</v>
      </c>
      <c r="BX50" s="237"/>
      <c r="BY50" s="238"/>
      <c r="BZ50" s="237">
        <f t="shared" si="34"/>
        <v>0</v>
      </c>
      <c r="CA50" s="237"/>
      <c r="CB50" s="240"/>
      <c r="CC50" s="321">
        <f>CC52+CC54+CC56+CC58</f>
        <v>0.3883</v>
      </c>
      <c r="CD50" s="241"/>
      <c r="CE50" s="246"/>
      <c r="CF50" s="237">
        <f t="shared" si="28"/>
        <v>23.9476</v>
      </c>
      <c r="CG50" s="237"/>
      <c r="CH50" s="238"/>
      <c r="CI50" s="237">
        <f>CI52+CI54+CI56+CI58</f>
        <v>0</v>
      </c>
      <c r="CJ50" s="239"/>
      <c r="CK50" s="237"/>
      <c r="CL50" s="237">
        <f>CL52+CL54+CL56+CL58</f>
        <v>0</v>
      </c>
      <c r="CM50" s="237"/>
      <c r="CN50" s="238"/>
      <c r="CO50" s="237">
        <f t="shared" si="29"/>
        <v>0</v>
      </c>
      <c r="CP50" s="237"/>
      <c r="CQ50" s="240"/>
      <c r="CR50" s="237">
        <f>CR52+CR54+CR56+CR58</f>
        <v>23.9476</v>
      </c>
      <c r="CS50" s="247"/>
      <c r="CT50" s="224"/>
      <c r="CU50" s="246"/>
      <c r="CV50" s="237">
        <f t="shared" si="30"/>
        <v>3.9534</v>
      </c>
      <c r="CW50" s="237"/>
      <c r="CX50" s="238"/>
      <c r="CY50" s="237">
        <f>CY52+CY54+CY56+CY58</f>
        <v>0</v>
      </c>
      <c r="CZ50" s="239"/>
      <c r="DA50" s="237"/>
      <c r="DB50" s="237">
        <f>DB52+DB54+DB56+DB58</f>
        <v>0</v>
      </c>
      <c r="DC50" s="237"/>
      <c r="DD50" s="238"/>
      <c r="DE50" s="237">
        <f t="shared" si="31"/>
        <v>0</v>
      </c>
      <c r="DF50" s="237"/>
      <c r="DG50" s="240"/>
      <c r="DH50" s="237">
        <f>DH52+DH54+DH56+DH58</f>
        <v>3.9534</v>
      </c>
      <c r="DI50" s="241"/>
      <c r="DJ50" s="304"/>
      <c r="DK50" s="228"/>
    </row>
    <row r="51" spans="1:115" s="197" customFormat="1" ht="15.75" customHeight="1">
      <c r="A51" s="612">
        <f>A47+1</f>
        <v>35</v>
      </c>
      <c r="B51" s="613" t="s">
        <v>187</v>
      </c>
      <c r="C51" s="208" t="s">
        <v>145</v>
      </c>
      <c r="D51" s="209">
        <f t="shared" si="22"/>
        <v>0</v>
      </c>
      <c r="E51" s="209" t="s">
        <v>146</v>
      </c>
      <c r="F51" s="427" t="s">
        <v>145</v>
      </c>
      <c r="G51" s="252"/>
      <c r="H51" s="252" t="s">
        <v>146</v>
      </c>
      <c r="I51" s="427" t="s">
        <v>145</v>
      </c>
      <c r="J51" s="252"/>
      <c r="K51" s="252" t="s">
        <v>146</v>
      </c>
      <c r="L51" s="427" t="s">
        <v>145</v>
      </c>
      <c r="M51" s="209">
        <f t="shared" si="16"/>
        <v>0</v>
      </c>
      <c r="N51" s="252" t="s">
        <v>146</v>
      </c>
      <c r="O51" s="212" t="s">
        <v>145</v>
      </c>
      <c r="P51" s="209"/>
      <c r="Q51" s="209" t="s">
        <v>146</v>
      </c>
      <c r="R51" s="208" t="s">
        <v>145</v>
      </c>
      <c r="S51" s="209">
        <f t="shared" si="23"/>
        <v>0</v>
      </c>
      <c r="T51" s="209" t="s">
        <v>146</v>
      </c>
      <c r="U51" s="212" t="s">
        <v>145</v>
      </c>
      <c r="V51" s="209"/>
      <c r="W51" s="209" t="s">
        <v>146</v>
      </c>
      <c r="X51" s="212" t="s">
        <v>145</v>
      </c>
      <c r="Y51" s="209"/>
      <c r="Z51" s="209" t="s">
        <v>146</v>
      </c>
      <c r="AA51" s="212" t="s">
        <v>145</v>
      </c>
      <c r="AB51" s="209">
        <f t="shared" si="18"/>
        <v>0</v>
      </c>
      <c r="AC51" s="209" t="s">
        <v>146</v>
      </c>
      <c r="AD51" s="212" t="s">
        <v>145</v>
      </c>
      <c r="AE51" s="209"/>
      <c r="AF51" s="211" t="s">
        <v>146</v>
      </c>
      <c r="AG51" s="209"/>
      <c r="AH51" s="209"/>
      <c r="AI51" s="213" t="s">
        <v>145</v>
      </c>
      <c r="AJ51" s="214"/>
      <c r="AK51" s="214" t="s">
        <v>146</v>
      </c>
      <c r="AL51" s="210" t="s">
        <v>145</v>
      </c>
      <c r="AM51" s="214"/>
      <c r="AN51" s="214" t="s">
        <v>146</v>
      </c>
      <c r="AO51" s="210" t="s">
        <v>145</v>
      </c>
      <c r="AP51" s="214"/>
      <c r="AQ51" s="214" t="s">
        <v>146</v>
      </c>
      <c r="AR51" s="210" t="s">
        <v>145</v>
      </c>
      <c r="AS51" s="214"/>
      <c r="AT51" s="214" t="s">
        <v>146</v>
      </c>
      <c r="AU51" s="210" t="s">
        <v>145</v>
      </c>
      <c r="AV51" s="214"/>
      <c r="AW51" s="215" t="s">
        <v>146</v>
      </c>
      <c r="AX51" s="213" t="s">
        <v>145</v>
      </c>
      <c r="AY51" s="214">
        <f t="shared" si="25"/>
        <v>0</v>
      </c>
      <c r="AZ51" s="214" t="s">
        <v>146</v>
      </c>
      <c r="BA51" s="210" t="s">
        <v>145</v>
      </c>
      <c r="BB51" s="214"/>
      <c r="BC51" s="214" t="s">
        <v>146</v>
      </c>
      <c r="BD51" s="210" t="s">
        <v>145</v>
      </c>
      <c r="BE51" s="214"/>
      <c r="BF51" s="214" t="s">
        <v>146</v>
      </c>
      <c r="BG51" s="210" t="s">
        <v>145</v>
      </c>
      <c r="BH51" s="214">
        <f t="shared" si="26"/>
        <v>0</v>
      </c>
      <c r="BI51" s="214" t="s">
        <v>146</v>
      </c>
      <c r="BJ51" s="210" t="s">
        <v>145</v>
      </c>
      <c r="BK51" s="214"/>
      <c r="BL51" s="214" t="s">
        <v>146</v>
      </c>
      <c r="BM51" s="659">
        <v>36</v>
      </c>
      <c r="BN51" s="612">
        <v>36</v>
      </c>
      <c r="BO51" s="613" t="s">
        <v>187</v>
      </c>
      <c r="BP51" s="209" t="s">
        <v>145</v>
      </c>
      <c r="BQ51" s="209">
        <f t="shared" si="27"/>
        <v>0</v>
      </c>
      <c r="BR51" s="209" t="s">
        <v>146</v>
      </c>
      <c r="BS51" s="212" t="s">
        <v>145</v>
      </c>
      <c r="BT51" s="209"/>
      <c r="BU51" s="209" t="s">
        <v>146</v>
      </c>
      <c r="BV51" s="212" t="s">
        <v>145</v>
      </c>
      <c r="BW51" s="209"/>
      <c r="BX51" s="209" t="s">
        <v>146</v>
      </c>
      <c r="BY51" s="212" t="s">
        <v>145</v>
      </c>
      <c r="BZ51" s="209">
        <f t="shared" si="34"/>
        <v>0</v>
      </c>
      <c r="CA51" s="209" t="s">
        <v>146</v>
      </c>
      <c r="CB51" s="212" t="s">
        <v>145</v>
      </c>
      <c r="CC51" s="209"/>
      <c r="CD51" s="209" t="s">
        <v>146</v>
      </c>
      <c r="CE51" s="208" t="s">
        <v>145</v>
      </c>
      <c r="CF51" s="209">
        <f t="shared" si="28"/>
        <v>88.7494</v>
      </c>
      <c r="CG51" s="209" t="s">
        <v>146</v>
      </c>
      <c r="CH51" s="212" t="s">
        <v>145</v>
      </c>
      <c r="CI51" s="209"/>
      <c r="CJ51" s="209" t="s">
        <v>146</v>
      </c>
      <c r="CK51" s="212" t="s">
        <v>145</v>
      </c>
      <c r="CL51" s="209"/>
      <c r="CM51" s="209" t="s">
        <v>146</v>
      </c>
      <c r="CN51" s="212" t="s">
        <v>145</v>
      </c>
      <c r="CO51" s="209">
        <f t="shared" si="29"/>
        <v>0</v>
      </c>
      <c r="CP51" s="209" t="s">
        <v>146</v>
      </c>
      <c r="CQ51" s="212" t="s">
        <v>145</v>
      </c>
      <c r="CR51" s="209">
        <v>88.7494</v>
      </c>
      <c r="CS51" s="211" t="s">
        <v>146</v>
      </c>
      <c r="CT51" s="209"/>
      <c r="CU51" s="213" t="s">
        <v>145</v>
      </c>
      <c r="CV51" s="214">
        <f t="shared" si="30"/>
        <v>0</v>
      </c>
      <c r="CW51" s="214" t="s">
        <v>146</v>
      </c>
      <c r="CX51" s="210" t="s">
        <v>145</v>
      </c>
      <c r="CY51" s="214"/>
      <c r="CZ51" s="214" t="s">
        <v>146</v>
      </c>
      <c r="DA51" s="210" t="s">
        <v>145</v>
      </c>
      <c r="DB51" s="214"/>
      <c r="DC51" s="214" t="s">
        <v>146</v>
      </c>
      <c r="DD51" s="210" t="s">
        <v>145</v>
      </c>
      <c r="DE51" s="214"/>
      <c r="DF51" s="214" t="s">
        <v>146</v>
      </c>
      <c r="DG51" s="210" t="s">
        <v>145</v>
      </c>
      <c r="DH51" s="214"/>
      <c r="DI51" s="215" t="s">
        <v>146</v>
      </c>
      <c r="DJ51" s="660">
        <v>36</v>
      </c>
      <c r="DK51" s="199"/>
    </row>
    <row r="52" spans="1:115" s="197" customFormat="1" ht="15.75" customHeight="1">
      <c r="A52" s="580"/>
      <c r="B52" s="611"/>
      <c r="C52" s="264"/>
      <c r="D52" s="254">
        <f t="shared" si="22"/>
        <v>0</v>
      </c>
      <c r="E52" s="254"/>
      <c r="F52" s="431"/>
      <c r="G52" s="263"/>
      <c r="H52" s="263"/>
      <c r="I52" s="431"/>
      <c r="J52" s="263"/>
      <c r="K52" s="263"/>
      <c r="L52" s="431"/>
      <c r="M52" s="254">
        <f t="shared" si="16"/>
        <v>0</v>
      </c>
      <c r="N52" s="263"/>
      <c r="O52" s="255"/>
      <c r="P52" s="254"/>
      <c r="Q52" s="254"/>
      <c r="R52" s="264"/>
      <c r="S52" s="254">
        <f t="shared" si="23"/>
        <v>0</v>
      </c>
      <c r="T52" s="254"/>
      <c r="U52" s="255"/>
      <c r="V52" s="254"/>
      <c r="W52" s="254"/>
      <c r="X52" s="255"/>
      <c r="Y52" s="254"/>
      <c r="Z52" s="254"/>
      <c r="AA52" s="255"/>
      <c r="AB52" s="254">
        <f t="shared" si="18"/>
        <v>0</v>
      </c>
      <c r="AC52" s="254"/>
      <c r="AD52" s="255"/>
      <c r="AE52" s="254"/>
      <c r="AF52" s="265"/>
      <c r="AG52" s="209"/>
      <c r="AH52" s="209"/>
      <c r="AI52" s="264"/>
      <c r="AJ52" s="254">
        <f>AS52+AV52</f>
        <v>21.051</v>
      </c>
      <c r="AK52" s="254"/>
      <c r="AL52" s="255"/>
      <c r="AM52" s="254"/>
      <c r="AN52" s="254"/>
      <c r="AO52" s="255"/>
      <c r="AP52" s="254"/>
      <c r="AQ52" s="254"/>
      <c r="AR52" s="255"/>
      <c r="AS52" s="254">
        <f>AM52+AP52</f>
        <v>0</v>
      </c>
      <c r="AT52" s="254"/>
      <c r="AU52" s="255"/>
      <c r="AV52" s="254">
        <v>21.051</v>
      </c>
      <c r="AW52" s="265"/>
      <c r="AX52" s="264"/>
      <c r="AY52" s="254">
        <f t="shared" si="25"/>
        <v>0</v>
      </c>
      <c r="AZ52" s="254"/>
      <c r="BA52" s="255"/>
      <c r="BB52" s="254"/>
      <c r="BC52" s="254"/>
      <c r="BD52" s="255"/>
      <c r="BE52" s="254"/>
      <c r="BF52" s="254"/>
      <c r="BG52" s="255"/>
      <c r="BH52" s="254">
        <f t="shared" si="26"/>
        <v>0</v>
      </c>
      <c r="BI52" s="254"/>
      <c r="BJ52" s="255"/>
      <c r="BK52" s="254"/>
      <c r="BL52" s="254"/>
      <c r="BM52" s="645"/>
      <c r="BN52" s="580"/>
      <c r="BO52" s="611"/>
      <c r="BP52" s="264"/>
      <c r="BQ52" s="254">
        <f t="shared" si="27"/>
        <v>0</v>
      </c>
      <c r="BR52" s="254"/>
      <c r="BS52" s="255"/>
      <c r="BT52" s="254"/>
      <c r="BU52" s="254"/>
      <c r="BV52" s="255"/>
      <c r="BW52" s="254"/>
      <c r="BX52" s="254"/>
      <c r="BY52" s="255"/>
      <c r="BZ52" s="254">
        <f t="shared" si="34"/>
        <v>0</v>
      </c>
      <c r="CA52" s="254"/>
      <c r="CB52" s="255"/>
      <c r="CC52" s="254"/>
      <c r="CD52" s="254"/>
      <c r="CE52" s="264"/>
      <c r="CF52" s="254">
        <f t="shared" si="28"/>
        <v>10.83</v>
      </c>
      <c r="CG52" s="254"/>
      <c r="CH52" s="255"/>
      <c r="CI52" s="254"/>
      <c r="CJ52" s="254"/>
      <c r="CK52" s="255"/>
      <c r="CL52" s="254"/>
      <c r="CM52" s="254"/>
      <c r="CN52" s="255"/>
      <c r="CO52" s="254">
        <f t="shared" si="29"/>
        <v>0</v>
      </c>
      <c r="CP52" s="254"/>
      <c r="CQ52" s="255"/>
      <c r="CR52" s="254">
        <v>10.83</v>
      </c>
      <c r="CS52" s="265"/>
      <c r="CT52" s="209"/>
      <c r="CU52" s="264"/>
      <c r="CV52" s="254">
        <f t="shared" si="30"/>
        <v>0</v>
      </c>
      <c r="CW52" s="254"/>
      <c r="CX52" s="255"/>
      <c r="CY52" s="254"/>
      <c r="CZ52" s="254"/>
      <c r="DA52" s="255"/>
      <c r="DB52" s="254"/>
      <c r="DC52" s="254"/>
      <c r="DD52" s="255"/>
      <c r="DE52" s="254"/>
      <c r="DF52" s="254"/>
      <c r="DG52" s="255"/>
      <c r="DH52" s="254"/>
      <c r="DI52" s="265"/>
      <c r="DJ52" s="656"/>
      <c r="DK52" s="199"/>
    </row>
    <row r="53" spans="1:115" s="197" customFormat="1" ht="15.75" customHeight="1">
      <c r="A53" s="579">
        <f>A51+1</f>
        <v>36</v>
      </c>
      <c r="B53" s="578" t="s">
        <v>188</v>
      </c>
      <c r="C53" s="209" t="s">
        <v>145</v>
      </c>
      <c r="D53" s="209">
        <f t="shared" si="22"/>
        <v>0</v>
      </c>
      <c r="E53" s="209" t="s">
        <v>146</v>
      </c>
      <c r="F53" s="427" t="s">
        <v>145</v>
      </c>
      <c r="G53" s="252"/>
      <c r="H53" s="252" t="s">
        <v>146</v>
      </c>
      <c r="I53" s="427" t="s">
        <v>145</v>
      </c>
      <c r="J53" s="252"/>
      <c r="K53" s="252" t="s">
        <v>146</v>
      </c>
      <c r="L53" s="427" t="s">
        <v>145</v>
      </c>
      <c r="M53" s="209">
        <f t="shared" si="16"/>
        <v>0</v>
      </c>
      <c r="N53" s="252" t="s">
        <v>146</v>
      </c>
      <c r="O53" s="212" t="s">
        <v>145</v>
      </c>
      <c r="P53" s="209"/>
      <c r="Q53" s="209" t="s">
        <v>146</v>
      </c>
      <c r="R53" s="208" t="s">
        <v>145</v>
      </c>
      <c r="S53" s="209">
        <f t="shared" si="23"/>
        <v>0</v>
      </c>
      <c r="T53" s="209" t="s">
        <v>146</v>
      </c>
      <c r="U53" s="212" t="s">
        <v>145</v>
      </c>
      <c r="V53" s="209"/>
      <c r="W53" s="209" t="s">
        <v>146</v>
      </c>
      <c r="X53" s="212" t="s">
        <v>145</v>
      </c>
      <c r="Y53" s="209"/>
      <c r="Z53" s="209" t="s">
        <v>146</v>
      </c>
      <c r="AA53" s="212" t="s">
        <v>145</v>
      </c>
      <c r="AB53" s="209">
        <f t="shared" si="18"/>
        <v>0</v>
      </c>
      <c r="AC53" s="209" t="s">
        <v>146</v>
      </c>
      <c r="AD53" s="212" t="s">
        <v>145</v>
      </c>
      <c r="AE53" s="209"/>
      <c r="AF53" s="211" t="s">
        <v>146</v>
      </c>
      <c r="AG53" s="209"/>
      <c r="AH53" s="209"/>
      <c r="AI53" s="208" t="s">
        <v>145</v>
      </c>
      <c r="AJ53" s="209"/>
      <c r="AK53" s="209" t="s">
        <v>146</v>
      </c>
      <c r="AL53" s="212" t="s">
        <v>145</v>
      </c>
      <c r="AM53" s="209"/>
      <c r="AN53" s="209" t="s">
        <v>146</v>
      </c>
      <c r="AO53" s="212" t="s">
        <v>145</v>
      </c>
      <c r="AP53" s="209"/>
      <c r="AQ53" s="209" t="s">
        <v>146</v>
      </c>
      <c r="AR53" s="212" t="s">
        <v>145</v>
      </c>
      <c r="AS53" s="209"/>
      <c r="AT53" s="209" t="s">
        <v>146</v>
      </c>
      <c r="AU53" s="212" t="s">
        <v>145</v>
      </c>
      <c r="AV53" s="209"/>
      <c r="AW53" s="211" t="s">
        <v>146</v>
      </c>
      <c r="AX53" s="208" t="s">
        <v>145</v>
      </c>
      <c r="AY53" s="209">
        <f t="shared" si="25"/>
        <v>0</v>
      </c>
      <c r="AZ53" s="209" t="s">
        <v>146</v>
      </c>
      <c r="BA53" s="212" t="s">
        <v>145</v>
      </c>
      <c r="BB53" s="209"/>
      <c r="BC53" s="209" t="s">
        <v>146</v>
      </c>
      <c r="BD53" s="212" t="s">
        <v>145</v>
      </c>
      <c r="BE53" s="209"/>
      <c r="BF53" s="209" t="s">
        <v>146</v>
      </c>
      <c r="BG53" s="212" t="s">
        <v>145</v>
      </c>
      <c r="BH53" s="209">
        <f t="shared" si="26"/>
        <v>0</v>
      </c>
      <c r="BI53" s="209" t="s">
        <v>146</v>
      </c>
      <c r="BJ53" s="212" t="s">
        <v>145</v>
      </c>
      <c r="BK53" s="209"/>
      <c r="BL53" s="209" t="s">
        <v>146</v>
      </c>
      <c r="BM53" s="653">
        <v>37</v>
      </c>
      <c r="BN53" s="579">
        <v>37</v>
      </c>
      <c r="BO53" s="578" t="s">
        <v>188</v>
      </c>
      <c r="BP53" s="209" t="s">
        <v>145</v>
      </c>
      <c r="BQ53" s="209">
        <f t="shared" si="27"/>
        <v>0</v>
      </c>
      <c r="BR53" s="209" t="s">
        <v>146</v>
      </c>
      <c r="BS53" s="212" t="s">
        <v>145</v>
      </c>
      <c r="BT53" s="209"/>
      <c r="BU53" s="209" t="s">
        <v>146</v>
      </c>
      <c r="BV53" s="212" t="s">
        <v>145</v>
      </c>
      <c r="BW53" s="209"/>
      <c r="BX53" s="209" t="s">
        <v>146</v>
      </c>
      <c r="BY53" s="212" t="s">
        <v>145</v>
      </c>
      <c r="BZ53" s="209">
        <f t="shared" si="34"/>
        <v>0</v>
      </c>
      <c r="CA53" s="209" t="s">
        <v>146</v>
      </c>
      <c r="CB53" s="212" t="s">
        <v>145</v>
      </c>
      <c r="CC53" s="209"/>
      <c r="CD53" s="209" t="s">
        <v>146</v>
      </c>
      <c r="CE53" s="208" t="s">
        <v>145</v>
      </c>
      <c r="CF53" s="209">
        <f t="shared" si="28"/>
        <v>277.6666</v>
      </c>
      <c r="CG53" s="209" t="s">
        <v>146</v>
      </c>
      <c r="CH53" s="212" t="s">
        <v>145</v>
      </c>
      <c r="CI53" s="209">
        <v>269.0541</v>
      </c>
      <c r="CJ53" s="209" t="s">
        <v>146</v>
      </c>
      <c r="CK53" s="212" t="s">
        <v>145</v>
      </c>
      <c r="CL53" s="209"/>
      <c r="CM53" s="209" t="s">
        <v>146</v>
      </c>
      <c r="CN53" s="212" t="s">
        <v>145</v>
      </c>
      <c r="CO53" s="209">
        <f t="shared" si="29"/>
        <v>269.0541</v>
      </c>
      <c r="CP53" s="209" t="s">
        <v>146</v>
      </c>
      <c r="CQ53" s="212" t="s">
        <v>145</v>
      </c>
      <c r="CR53" s="209">
        <v>8.6125</v>
      </c>
      <c r="CS53" s="211" t="s">
        <v>146</v>
      </c>
      <c r="CT53" s="209"/>
      <c r="CU53" s="208" t="s">
        <v>145</v>
      </c>
      <c r="CV53" s="209">
        <f t="shared" si="30"/>
        <v>0</v>
      </c>
      <c r="CW53" s="209" t="s">
        <v>146</v>
      </c>
      <c r="CX53" s="212" t="s">
        <v>145</v>
      </c>
      <c r="CY53" s="209"/>
      <c r="CZ53" s="209" t="s">
        <v>146</v>
      </c>
      <c r="DA53" s="212" t="s">
        <v>145</v>
      </c>
      <c r="DB53" s="209"/>
      <c r="DC53" s="209" t="s">
        <v>146</v>
      </c>
      <c r="DD53" s="212" t="s">
        <v>145</v>
      </c>
      <c r="DE53" s="209"/>
      <c r="DF53" s="209" t="s">
        <v>146</v>
      </c>
      <c r="DG53" s="212" t="s">
        <v>145</v>
      </c>
      <c r="DH53" s="209"/>
      <c r="DI53" s="211" t="s">
        <v>146</v>
      </c>
      <c r="DJ53" s="650">
        <v>37</v>
      </c>
      <c r="DK53" s="199"/>
    </row>
    <row r="54" spans="1:115" s="197" customFormat="1" ht="15.75" customHeight="1">
      <c r="A54" s="580"/>
      <c r="B54" s="611"/>
      <c r="C54" s="209"/>
      <c r="D54" s="254">
        <f t="shared" si="22"/>
        <v>0</v>
      </c>
      <c r="E54" s="209"/>
      <c r="F54" s="427"/>
      <c r="G54" s="252"/>
      <c r="H54" s="252"/>
      <c r="I54" s="427"/>
      <c r="J54" s="252"/>
      <c r="K54" s="252"/>
      <c r="L54" s="427"/>
      <c r="M54" s="254">
        <f t="shared" si="16"/>
        <v>0</v>
      </c>
      <c r="N54" s="252"/>
      <c r="O54" s="212"/>
      <c r="P54" s="209"/>
      <c r="Q54" s="209"/>
      <c r="R54" s="208"/>
      <c r="S54" s="254">
        <f t="shared" si="23"/>
        <v>0</v>
      </c>
      <c r="T54" s="209"/>
      <c r="U54" s="212"/>
      <c r="V54" s="209"/>
      <c r="W54" s="209"/>
      <c r="X54" s="212"/>
      <c r="Y54" s="209"/>
      <c r="Z54" s="209"/>
      <c r="AA54" s="212"/>
      <c r="AB54" s="254">
        <f t="shared" si="18"/>
        <v>0</v>
      </c>
      <c r="AC54" s="209"/>
      <c r="AD54" s="212"/>
      <c r="AE54" s="209"/>
      <c r="AF54" s="211"/>
      <c r="AG54" s="209"/>
      <c r="AH54" s="209"/>
      <c r="AI54" s="208"/>
      <c r="AJ54" s="254">
        <f>AS54+AV54</f>
        <v>84.8639</v>
      </c>
      <c r="AK54" s="209"/>
      <c r="AL54" s="212"/>
      <c r="AM54" s="209"/>
      <c r="AN54" s="209"/>
      <c r="AO54" s="212"/>
      <c r="AP54" s="209">
        <f>0.7092</f>
        <v>0.7092</v>
      </c>
      <c r="AQ54" s="209"/>
      <c r="AR54" s="212"/>
      <c r="AS54" s="254">
        <f>AM54+AP54</f>
        <v>0.7092</v>
      </c>
      <c r="AT54" s="209"/>
      <c r="AU54" s="212"/>
      <c r="AV54" s="209">
        <v>84.1547</v>
      </c>
      <c r="AW54" s="211"/>
      <c r="AX54" s="208"/>
      <c r="AY54" s="254">
        <f t="shared" si="25"/>
        <v>0</v>
      </c>
      <c r="AZ54" s="209"/>
      <c r="BA54" s="212"/>
      <c r="BB54" s="209"/>
      <c r="BC54" s="209"/>
      <c r="BD54" s="212"/>
      <c r="BE54" s="209"/>
      <c r="BF54" s="209"/>
      <c r="BG54" s="212"/>
      <c r="BH54" s="254">
        <f t="shared" si="26"/>
        <v>0</v>
      </c>
      <c r="BI54" s="209"/>
      <c r="BJ54" s="212"/>
      <c r="BK54" s="209"/>
      <c r="BL54" s="209"/>
      <c r="BM54" s="653"/>
      <c r="BN54" s="580"/>
      <c r="BO54" s="611"/>
      <c r="BP54" s="209"/>
      <c r="BQ54" s="254">
        <f t="shared" si="27"/>
        <v>0</v>
      </c>
      <c r="BR54" s="209"/>
      <c r="BS54" s="212"/>
      <c r="BT54" s="209"/>
      <c r="BU54" s="209"/>
      <c r="BV54" s="212"/>
      <c r="BW54" s="209"/>
      <c r="BX54" s="209"/>
      <c r="BY54" s="212"/>
      <c r="BZ54" s="254">
        <f t="shared" si="34"/>
        <v>0</v>
      </c>
      <c r="CA54" s="209"/>
      <c r="CB54" s="212"/>
      <c r="CC54" s="209"/>
      <c r="CD54" s="209"/>
      <c r="CE54" s="208"/>
      <c r="CF54" s="254">
        <f t="shared" si="28"/>
        <v>0</v>
      </c>
      <c r="CG54" s="209"/>
      <c r="CH54" s="212"/>
      <c r="CI54" s="209"/>
      <c r="CJ54" s="209"/>
      <c r="CK54" s="212"/>
      <c r="CL54" s="209"/>
      <c r="CM54" s="209"/>
      <c r="CN54" s="212"/>
      <c r="CO54" s="254">
        <f t="shared" si="29"/>
        <v>0</v>
      </c>
      <c r="CP54" s="209"/>
      <c r="CQ54" s="212"/>
      <c r="CR54" s="209"/>
      <c r="CS54" s="211"/>
      <c r="CT54" s="209"/>
      <c r="CU54" s="208"/>
      <c r="CV54" s="254">
        <f t="shared" si="30"/>
        <v>3.9534</v>
      </c>
      <c r="CW54" s="209"/>
      <c r="CX54" s="212"/>
      <c r="CY54" s="209"/>
      <c r="CZ54" s="209"/>
      <c r="DA54" s="212"/>
      <c r="DB54" s="209"/>
      <c r="DC54" s="209"/>
      <c r="DD54" s="212"/>
      <c r="DE54" s="254"/>
      <c r="DF54" s="209"/>
      <c r="DG54" s="212"/>
      <c r="DH54" s="209">
        <v>3.9534</v>
      </c>
      <c r="DI54" s="211"/>
      <c r="DJ54" s="650"/>
      <c r="DK54" s="199"/>
    </row>
    <row r="55" spans="1:115" s="197" customFormat="1" ht="15.75" customHeight="1">
      <c r="A55" s="579">
        <f>A53+1</f>
        <v>37</v>
      </c>
      <c r="B55" s="578" t="s">
        <v>189</v>
      </c>
      <c r="C55" s="258" t="s">
        <v>145</v>
      </c>
      <c r="D55" s="209">
        <f t="shared" si="22"/>
        <v>0</v>
      </c>
      <c r="E55" s="258" t="s">
        <v>146</v>
      </c>
      <c r="F55" s="430" t="s">
        <v>145</v>
      </c>
      <c r="G55" s="260"/>
      <c r="H55" s="260" t="s">
        <v>146</v>
      </c>
      <c r="I55" s="430" t="s">
        <v>145</v>
      </c>
      <c r="J55" s="260"/>
      <c r="K55" s="260" t="s">
        <v>146</v>
      </c>
      <c r="L55" s="430" t="s">
        <v>145</v>
      </c>
      <c r="M55" s="209">
        <f t="shared" si="16"/>
        <v>0</v>
      </c>
      <c r="N55" s="260" t="s">
        <v>146</v>
      </c>
      <c r="O55" s="259" t="s">
        <v>145</v>
      </c>
      <c r="P55" s="258"/>
      <c r="Q55" s="258" t="s">
        <v>146</v>
      </c>
      <c r="R55" s="261" t="s">
        <v>145</v>
      </c>
      <c r="S55" s="209">
        <f t="shared" si="23"/>
        <v>0</v>
      </c>
      <c r="T55" s="258" t="s">
        <v>146</v>
      </c>
      <c r="U55" s="259" t="s">
        <v>145</v>
      </c>
      <c r="V55" s="258"/>
      <c r="W55" s="258" t="s">
        <v>146</v>
      </c>
      <c r="X55" s="259" t="s">
        <v>145</v>
      </c>
      <c r="Y55" s="258"/>
      <c r="Z55" s="258" t="s">
        <v>146</v>
      </c>
      <c r="AA55" s="259" t="s">
        <v>145</v>
      </c>
      <c r="AB55" s="209">
        <f t="shared" si="18"/>
        <v>0</v>
      </c>
      <c r="AC55" s="258" t="s">
        <v>146</v>
      </c>
      <c r="AD55" s="259" t="s">
        <v>145</v>
      </c>
      <c r="AE55" s="258"/>
      <c r="AF55" s="262" t="s">
        <v>146</v>
      </c>
      <c r="AG55" s="209"/>
      <c r="AH55" s="209"/>
      <c r="AI55" s="261" t="s">
        <v>145</v>
      </c>
      <c r="AJ55" s="209"/>
      <c r="AK55" s="258" t="s">
        <v>146</v>
      </c>
      <c r="AL55" s="259" t="s">
        <v>145</v>
      </c>
      <c r="AM55" s="258"/>
      <c r="AN55" s="258" t="s">
        <v>146</v>
      </c>
      <c r="AO55" s="259" t="s">
        <v>145</v>
      </c>
      <c r="AP55" s="258"/>
      <c r="AQ55" s="258" t="s">
        <v>146</v>
      </c>
      <c r="AR55" s="259" t="s">
        <v>145</v>
      </c>
      <c r="AS55" s="209"/>
      <c r="AT55" s="258" t="s">
        <v>146</v>
      </c>
      <c r="AU55" s="259" t="s">
        <v>145</v>
      </c>
      <c r="AV55" s="258"/>
      <c r="AW55" s="262" t="s">
        <v>146</v>
      </c>
      <c r="AX55" s="261" t="s">
        <v>145</v>
      </c>
      <c r="AY55" s="209">
        <f t="shared" si="25"/>
        <v>0</v>
      </c>
      <c r="AZ55" s="258" t="s">
        <v>146</v>
      </c>
      <c r="BA55" s="259" t="s">
        <v>145</v>
      </c>
      <c r="BB55" s="258"/>
      <c r="BC55" s="258" t="s">
        <v>146</v>
      </c>
      <c r="BD55" s="259" t="s">
        <v>145</v>
      </c>
      <c r="BE55" s="258"/>
      <c r="BF55" s="258" t="s">
        <v>146</v>
      </c>
      <c r="BG55" s="259" t="s">
        <v>145</v>
      </c>
      <c r="BH55" s="209">
        <f t="shared" si="26"/>
        <v>0</v>
      </c>
      <c r="BI55" s="258" t="s">
        <v>146</v>
      </c>
      <c r="BJ55" s="259" t="s">
        <v>145</v>
      </c>
      <c r="BK55" s="258"/>
      <c r="BL55" s="258" t="s">
        <v>146</v>
      </c>
      <c r="BM55" s="644">
        <v>38</v>
      </c>
      <c r="BN55" s="579">
        <v>38</v>
      </c>
      <c r="BO55" s="578" t="s">
        <v>189</v>
      </c>
      <c r="BP55" s="258" t="s">
        <v>145</v>
      </c>
      <c r="BQ55" s="209">
        <f t="shared" si="27"/>
        <v>0</v>
      </c>
      <c r="BR55" s="258" t="s">
        <v>146</v>
      </c>
      <c r="BS55" s="259" t="s">
        <v>145</v>
      </c>
      <c r="BT55" s="258"/>
      <c r="BU55" s="258" t="s">
        <v>146</v>
      </c>
      <c r="BV55" s="259" t="s">
        <v>145</v>
      </c>
      <c r="BW55" s="258"/>
      <c r="BX55" s="258" t="s">
        <v>146</v>
      </c>
      <c r="BY55" s="259" t="s">
        <v>145</v>
      </c>
      <c r="BZ55" s="209">
        <f t="shared" si="34"/>
        <v>0</v>
      </c>
      <c r="CA55" s="258" t="s">
        <v>146</v>
      </c>
      <c r="CB55" s="259" t="s">
        <v>145</v>
      </c>
      <c r="CC55" s="258"/>
      <c r="CD55" s="258" t="s">
        <v>146</v>
      </c>
      <c r="CE55" s="261" t="s">
        <v>145</v>
      </c>
      <c r="CF55" s="209">
        <f t="shared" si="28"/>
        <v>30.7444</v>
      </c>
      <c r="CG55" s="258" t="s">
        <v>146</v>
      </c>
      <c r="CH55" s="259" t="s">
        <v>145</v>
      </c>
      <c r="CI55" s="258"/>
      <c r="CJ55" s="258" t="s">
        <v>146</v>
      </c>
      <c r="CK55" s="259" t="s">
        <v>145</v>
      </c>
      <c r="CL55" s="258"/>
      <c r="CM55" s="258" t="s">
        <v>146</v>
      </c>
      <c r="CN55" s="259" t="s">
        <v>145</v>
      </c>
      <c r="CO55" s="209">
        <f t="shared" si="29"/>
        <v>0</v>
      </c>
      <c r="CP55" s="258" t="s">
        <v>146</v>
      </c>
      <c r="CQ55" s="259" t="s">
        <v>145</v>
      </c>
      <c r="CR55" s="258">
        <v>30.7444</v>
      </c>
      <c r="CS55" s="262" t="s">
        <v>146</v>
      </c>
      <c r="CT55" s="209"/>
      <c r="CU55" s="261" t="s">
        <v>145</v>
      </c>
      <c r="CV55" s="209">
        <f t="shared" si="30"/>
        <v>0</v>
      </c>
      <c r="CW55" s="258" t="s">
        <v>146</v>
      </c>
      <c r="CX55" s="259" t="s">
        <v>145</v>
      </c>
      <c r="CY55" s="258"/>
      <c r="CZ55" s="258" t="s">
        <v>146</v>
      </c>
      <c r="DA55" s="259" t="s">
        <v>145</v>
      </c>
      <c r="DB55" s="258"/>
      <c r="DC55" s="258" t="s">
        <v>146</v>
      </c>
      <c r="DD55" s="259" t="s">
        <v>145</v>
      </c>
      <c r="DE55" s="209"/>
      <c r="DF55" s="258" t="s">
        <v>146</v>
      </c>
      <c r="DG55" s="259" t="s">
        <v>145</v>
      </c>
      <c r="DH55" s="258"/>
      <c r="DI55" s="262" t="s">
        <v>146</v>
      </c>
      <c r="DJ55" s="655">
        <v>38</v>
      </c>
      <c r="DK55" s="199"/>
    </row>
    <row r="56" spans="1:115" s="197" customFormat="1" ht="15.75" customHeight="1">
      <c r="A56" s="580"/>
      <c r="B56" s="611"/>
      <c r="C56" s="254"/>
      <c r="D56" s="254">
        <f t="shared" si="22"/>
        <v>0</v>
      </c>
      <c r="E56" s="254"/>
      <c r="F56" s="431"/>
      <c r="G56" s="263"/>
      <c r="H56" s="263"/>
      <c r="I56" s="431"/>
      <c r="J56" s="263"/>
      <c r="K56" s="263"/>
      <c r="L56" s="431"/>
      <c r="M56" s="254">
        <f t="shared" si="16"/>
        <v>0</v>
      </c>
      <c r="N56" s="263"/>
      <c r="O56" s="255"/>
      <c r="P56" s="254"/>
      <c r="Q56" s="254"/>
      <c r="R56" s="264"/>
      <c r="S56" s="254">
        <f t="shared" si="23"/>
        <v>0</v>
      </c>
      <c r="T56" s="254"/>
      <c r="U56" s="255"/>
      <c r="V56" s="254"/>
      <c r="W56" s="254"/>
      <c r="X56" s="255"/>
      <c r="Y56" s="254"/>
      <c r="Z56" s="254"/>
      <c r="AA56" s="255"/>
      <c r="AB56" s="254">
        <f t="shared" si="18"/>
        <v>0</v>
      </c>
      <c r="AC56" s="254"/>
      <c r="AD56" s="255"/>
      <c r="AE56" s="254"/>
      <c r="AF56" s="265"/>
      <c r="AG56" s="209"/>
      <c r="AH56" s="209"/>
      <c r="AI56" s="264"/>
      <c r="AJ56" s="254">
        <f>AS56+AV56</f>
        <v>0</v>
      </c>
      <c r="AK56" s="254"/>
      <c r="AL56" s="255"/>
      <c r="AM56" s="254"/>
      <c r="AN56" s="254"/>
      <c r="AO56" s="255"/>
      <c r="AP56" s="254"/>
      <c r="AQ56" s="254"/>
      <c r="AR56" s="255"/>
      <c r="AS56" s="254">
        <f>AM56+AP56</f>
        <v>0</v>
      </c>
      <c r="AT56" s="254"/>
      <c r="AU56" s="255"/>
      <c r="AV56" s="254"/>
      <c r="AW56" s="265"/>
      <c r="AX56" s="264"/>
      <c r="AY56" s="254">
        <f t="shared" si="25"/>
        <v>0</v>
      </c>
      <c r="AZ56" s="254"/>
      <c r="BA56" s="255"/>
      <c r="BB56" s="254"/>
      <c r="BC56" s="254"/>
      <c r="BD56" s="255"/>
      <c r="BE56" s="254"/>
      <c r="BF56" s="254"/>
      <c r="BG56" s="255"/>
      <c r="BH56" s="254">
        <f t="shared" si="26"/>
        <v>0</v>
      </c>
      <c r="BI56" s="254"/>
      <c r="BJ56" s="255"/>
      <c r="BK56" s="254"/>
      <c r="BL56" s="254"/>
      <c r="BM56" s="645"/>
      <c r="BN56" s="580"/>
      <c r="BO56" s="611"/>
      <c r="BP56" s="254"/>
      <c r="BQ56" s="307">
        <f t="shared" si="27"/>
        <v>0.3883</v>
      </c>
      <c r="BR56" s="254"/>
      <c r="BS56" s="255"/>
      <c r="BT56" s="254"/>
      <c r="BU56" s="254"/>
      <c r="BV56" s="255"/>
      <c r="BW56" s="254"/>
      <c r="BX56" s="254"/>
      <c r="BY56" s="255"/>
      <c r="BZ56" s="254">
        <f t="shared" si="34"/>
        <v>0</v>
      </c>
      <c r="CA56" s="254"/>
      <c r="CB56" s="255"/>
      <c r="CC56" s="307">
        <v>0.3883</v>
      </c>
      <c r="CD56" s="254"/>
      <c r="CE56" s="264"/>
      <c r="CF56" s="254">
        <f t="shared" si="28"/>
        <v>13.1176</v>
      </c>
      <c r="CG56" s="254"/>
      <c r="CH56" s="255"/>
      <c r="CI56" s="254"/>
      <c r="CJ56" s="254"/>
      <c r="CK56" s="255"/>
      <c r="CL56" s="254"/>
      <c r="CM56" s="254"/>
      <c r="CN56" s="255"/>
      <c r="CO56" s="254">
        <f t="shared" si="29"/>
        <v>0</v>
      </c>
      <c r="CP56" s="254"/>
      <c r="CQ56" s="255"/>
      <c r="CR56" s="254">
        <v>13.1176</v>
      </c>
      <c r="CS56" s="265"/>
      <c r="CT56" s="209"/>
      <c r="CU56" s="264"/>
      <c r="CV56" s="254">
        <f t="shared" si="30"/>
        <v>0</v>
      </c>
      <c r="CW56" s="254"/>
      <c r="CX56" s="255"/>
      <c r="CY56" s="254"/>
      <c r="CZ56" s="254"/>
      <c r="DA56" s="255"/>
      <c r="DB56" s="254"/>
      <c r="DC56" s="254"/>
      <c r="DD56" s="255"/>
      <c r="DE56" s="254"/>
      <c r="DF56" s="254"/>
      <c r="DG56" s="255"/>
      <c r="DH56" s="254"/>
      <c r="DI56" s="265"/>
      <c r="DJ56" s="656"/>
      <c r="DK56" s="199"/>
    </row>
    <row r="57" spans="1:115" s="197" customFormat="1" ht="15.75" customHeight="1">
      <c r="A57" s="579">
        <f>A55+1</f>
        <v>38</v>
      </c>
      <c r="B57" s="578" t="s">
        <v>190</v>
      </c>
      <c r="C57" s="258" t="s">
        <v>145</v>
      </c>
      <c r="D57" s="209">
        <f t="shared" si="22"/>
        <v>0</v>
      </c>
      <c r="E57" s="258" t="s">
        <v>146</v>
      </c>
      <c r="F57" s="430" t="s">
        <v>145</v>
      </c>
      <c r="G57" s="260"/>
      <c r="H57" s="260" t="s">
        <v>146</v>
      </c>
      <c r="I57" s="430" t="s">
        <v>145</v>
      </c>
      <c r="J57" s="260"/>
      <c r="K57" s="260" t="s">
        <v>146</v>
      </c>
      <c r="L57" s="430" t="s">
        <v>145</v>
      </c>
      <c r="M57" s="258">
        <f t="shared" si="16"/>
        <v>0</v>
      </c>
      <c r="N57" s="260" t="s">
        <v>146</v>
      </c>
      <c r="O57" s="259" t="s">
        <v>145</v>
      </c>
      <c r="P57" s="258"/>
      <c r="Q57" s="258" t="s">
        <v>146</v>
      </c>
      <c r="R57" s="261" t="s">
        <v>145</v>
      </c>
      <c r="S57" s="209">
        <f t="shared" si="23"/>
        <v>0</v>
      </c>
      <c r="T57" s="258" t="s">
        <v>146</v>
      </c>
      <c r="U57" s="259" t="s">
        <v>145</v>
      </c>
      <c r="V57" s="258"/>
      <c r="W57" s="258" t="s">
        <v>146</v>
      </c>
      <c r="X57" s="259" t="s">
        <v>145</v>
      </c>
      <c r="Y57" s="258"/>
      <c r="Z57" s="258" t="s">
        <v>146</v>
      </c>
      <c r="AA57" s="259" t="s">
        <v>145</v>
      </c>
      <c r="AB57" s="209">
        <f t="shared" si="18"/>
        <v>0</v>
      </c>
      <c r="AC57" s="258" t="s">
        <v>146</v>
      </c>
      <c r="AD57" s="259" t="s">
        <v>145</v>
      </c>
      <c r="AE57" s="258"/>
      <c r="AF57" s="262" t="s">
        <v>146</v>
      </c>
      <c r="AG57" s="209"/>
      <c r="AH57" s="209"/>
      <c r="AI57" s="261" t="s">
        <v>145</v>
      </c>
      <c r="AJ57" s="209"/>
      <c r="AK57" s="258" t="s">
        <v>146</v>
      </c>
      <c r="AL57" s="259" t="s">
        <v>145</v>
      </c>
      <c r="AM57" s="258"/>
      <c r="AN57" s="258" t="s">
        <v>146</v>
      </c>
      <c r="AO57" s="259" t="s">
        <v>145</v>
      </c>
      <c r="AP57" s="258"/>
      <c r="AQ57" s="258" t="s">
        <v>146</v>
      </c>
      <c r="AR57" s="259" t="s">
        <v>145</v>
      </c>
      <c r="AS57" s="258"/>
      <c r="AT57" s="258" t="s">
        <v>146</v>
      </c>
      <c r="AU57" s="259" t="s">
        <v>145</v>
      </c>
      <c r="AV57" s="258"/>
      <c r="AW57" s="262" t="s">
        <v>146</v>
      </c>
      <c r="AX57" s="261" t="s">
        <v>145</v>
      </c>
      <c r="AY57" s="209">
        <f t="shared" si="25"/>
        <v>0</v>
      </c>
      <c r="AZ57" s="258" t="s">
        <v>146</v>
      </c>
      <c r="BA57" s="259" t="s">
        <v>145</v>
      </c>
      <c r="BB57" s="258"/>
      <c r="BC57" s="258" t="s">
        <v>146</v>
      </c>
      <c r="BD57" s="259" t="s">
        <v>145</v>
      </c>
      <c r="BE57" s="258"/>
      <c r="BF57" s="258" t="s">
        <v>146</v>
      </c>
      <c r="BG57" s="259" t="s">
        <v>145</v>
      </c>
      <c r="BH57" s="209">
        <f t="shared" si="26"/>
        <v>0</v>
      </c>
      <c r="BI57" s="258" t="s">
        <v>146</v>
      </c>
      <c r="BJ57" s="259" t="s">
        <v>145</v>
      </c>
      <c r="BK57" s="258"/>
      <c r="BL57" s="258" t="s">
        <v>146</v>
      </c>
      <c r="BM57" s="644">
        <v>39</v>
      </c>
      <c r="BN57" s="579">
        <v>39</v>
      </c>
      <c r="BO57" s="578" t="s">
        <v>190</v>
      </c>
      <c r="BP57" s="258" t="s">
        <v>145</v>
      </c>
      <c r="BQ57" s="209">
        <f t="shared" si="27"/>
        <v>0</v>
      </c>
      <c r="BR57" s="258" t="s">
        <v>146</v>
      </c>
      <c r="BS57" s="259" t="s">
        <v>145</v>
      </c>
      <c r="BT57" s="258"/>
      <c r="BU57" s="258" t="s">
        <v>146</v>
      </c>
      <c r="BV57" s="259" t="s">
        <v>145</v>
      </c>
      <c r="BW57" s="258"/>
      <c r="BX57" s="258" t="s">
        <v>146</v>
      </c>
      <c r="BY57" s="259" t="s">
        <v>145</v>
      </c>
      <c r="BZ57" s="209">
        <f t="shared" si="34"/>
        <v>0</v>
      </c>
      <c r="CA57" s="258" t="s">
        <v>146</v>
      </c>
      <c r="CB57" s="259" t="s">
        <v>145</v>
      </c>
      <c r="CC57" s="258"/>
      <c r="CD57" s="258" t="s">
        <v>146</v>
      </c>
      <c r="CE57" s="261" t="s">
        <v>145</v>
      </c>
      <c r="CF57" s="258">
        <f t="shared" si="28"/>
        <v>9.4263</v>
      </c>
      <c r="CG57" s="258" t="s">
        <v>146</v>
      </c>
      <c r="CH57" s="259" t="s">
        <v>145</v>
      </c>
      <c r="CI57" s="258"/>
      <c r="CJ57" s="258" t="s">
        <v>146</v>
      </c>
      <c r="CK57" s="259" t="s">
        <v>145</v>
      </c>
      <c r="CL57" s="258"/>
      <c r="CM57" s="258" t="s">
        <v>146</v>
      </c>
      <c r="CN57" s="259" t="s">
        <v>145</v>
      </c>
      <c r="CO57" s="258">
        <f t="shared" si="29"/>
        <v>0</v>
      </c>
      <c r="CP57" s="258" t="s">
        <v>146</v>
      </c>
      <c r="CQ57" s="259" t="s">
        <v>145</v>
      </c>
      <c r="CR57" s="258">
        <v>9.4263</v>
      </c>
      <c r="CS57" s="262" t="s">
        <v>146</v>
      </c>
      <c r="CT57" s="209"/>
      <c r="CU57" s="261" t="s">
        <v>145</v>
      </c>
      <c r="CV57" s="258">
        <f t="shared" si="30"/>
        <v>0</v>
      </c>
      <c r="CW57" s="258" t="s">
        <v>146</v>
      </c>
      <c r="CX57" s="259" t="s">
        <v>145</v>
      </c>
      <c r="CY57" s="258"/>
      <c r="CZ57" s="258" t="s">
        <v>146</v>
      </c>
      <c r="DA57" s="259" t="s">
        <v>145</v>
      </c>
      <c r="DB57" s="258"/>
      <c r="DC57" s="258" t="s">
        <v>146</v>
      </c>
      <c r="DD57" s="259" t="s">
        <v>145</v>
      </c>
      <c r="DE57" s="258"/>
      <c r="DF57" s="258" t="s">
        <v>146</v>
      </c>
      <c r="DG57" s="259" t="s">
        <v>145</v>
      </c>
      <c r="DH57" s="258"/>
      <c r="DI57" s="262" t="s">
        <v>146</v>
      </c>
      <c r="DJ57" s="655">
        <v>39</v>
      </c>
      <c r="DK57" s="199"/>
    </row>
    <row r="58" spans="1:115" s="197" customFormat="1" ht="15.75" customHeight="1" thickBot="1">
      <c r="A58" s="614"/>
      <c r="B58" s="615"/>
      <c r="C58" s="217"/>
      <c r="D58" s="217">
        <f t="shared" si="22"/>
        <v>0</v>
      </c>
      <c r="E58" s="217"/>
      <c r="F58" s="432"/>
      <c r="G58" s="280"/>
      <c r="H58" s="280"/>
      <c r="I58" s="432"/>
      <c r="J58" s="280"/>
      <c r="K58" s="280"/>
      <c r="L58" s="432"/>
      <c r="M58" s="217">
        <f t="shared" si="16"/>
        <v>0</v>
      </c>
      <c r="N58" s="280"/>
      <c r="O58" s="218"/>
      <c r="P58" s="217"/>
      <c r="Q58" s="217"/>
      <c r="R58" s="216"/>
      <c r="S58" s="217">
        <f t="shared" si="23"/>
        <v>0</v>
      </c>
      <c r="T58" s="217"/>
      <c r="U58" s="218"/>
      <c r="V58" s="217"/>
      <c r="W58" s="217"/>
      <c r="X58" s="218"/>
      <c r="Y58" s="217"/>
      <c r="Z58" s="217"/>
      <c r="AA58" s="218"/>
      <c r="AB58" s="217">
        <f t="shared" si="18"/>
        <v>0</v>
      </c>
      <c r="AC58" s="217"/>
      <c r="AD58" s="218"/>
      <c r="AE58" s="217"/>
      <c r="AF58" s="219"/>
      <c r="AG58" s="209"/>
      <c r="AH58" s="209"/>
      <c r="AI58" s="216"/>
      <c r="AJ58" s="217">
        <f>AS58+AV58</f>
        <v>0</v>
      </c>
      <c r="AK58" s="217"/>
      <c r="AL58" s="218"/>
      <c r="AM58" s="217"/>
      <c r="AN58" s="217"/>
      <c r="AO58" s="218"/>
      <c r="AP58" s="217"/>
      <c r="AQ58" s="217"/>
      <c r="AR58" s="218"/>
      <c r="AS58" s="217">
        <f>AM58+AP58</f>
        <v>0</v>
      </c>
      <c r="AT58" s="217"/>
      <c r="AU58" s="218"/>
      <c r="AV58" s="217"/>
      <c r="AW58" s="219"/>
      <c r="AX58" s="216"/>
      <c r="AY58" s="217">
        <f t="shared" si="25"/>
        <v>0</v>
      </c>
      <c r="AZ58" s="217"/>
      <c r="BA58" s="218"/>
      <c r="BB58" s="217"/>
      <c r="BC58" s="217"/>
      <c r="BD58" s="218"/>
      <c r="BE58" s="217"/>
      <c r="BF58" s="217"/>
      <c r="BG58" s="218"/>
      <c r="BH58" s="217">
        <f t="shared" si="26"/>
        <v>0</v>
      </c>
      <c r="BI58" s="217"/>
      <c r="BJ58" s="218"/>
      <c r="BK58" s="217"/>
      <c r="BL58" s="217"/>
      <c r="BM58" s="658"/>
      <c r="BN58" s="614"/>
      <c r="BO58" s="615"/>
      <c r="BP58" s="217"/>
      <c r="BQ58" s="217">
        <f t="shared" si="27"/>
        <v>0</v>
      </c>
      <c r="BR58" s="217"/>
      <c r="BS58" s="218"/>
      <c r="BT58" s="217"/>
      <c r="BU58" s="217"/>
      <c r="BV58" s="218"/>
      <c r="BW58" s="217"/>
      <c r="BX58" s="217"/>
      <c r="BY58" s="218"/>
      <c r="BZ58" s="217">
        <f t="shared" si="34"/>
        <v>0</v>
      </c>
      <c r="CA58" s="217"/>
      <c r="CB58" s="218"/>
      <c r="CC58" s="217"/>
      <c r="CD58" s="217"/>
      <c r="CE58" s="216"/>
      <c r="CF58" s="217">
        <f t="shared" si="28"/>
        <v>0</v>
      </c>
      <c r="CG58" s="217"/>
      <c r="CH58" s="218"/>
      <c r="CI58" s="217"/>
      <c r="CJ58" s="217"/>
      <c r="CK58" s="218"/>
      <c r="CL58" s="217"/>
      <c r="CM58" s="217"/>
      <c r="CN58" s="218"/>
      <c r="CO58" s="217">
        <f t="shared" si="29"/>
        <v>0</v>
      </c>
      <c r="CP58" s="217"/>
      <c r="CQ58" s="218"/>
      <c r="CR58" s="217"/>
      <c r="CS58" s="219"/>
      <c r="CT58" s="209"/>
      <c r="CU58" s="216"/>
      <c r="CV58" s="217">
        <f t="shared" si="30"/>
        <v>0</v>
      </c>
      <c r="CW58" s="217"/>
      <c r="CX58" s="218"/>
      <c r="CY58" s="217"/>
      <c r="CZ58" s="217"/>
      <c r="DA58" s="218"/>
      <c r="DB58" s="217"/>
      <c r="DC58" s="217"/>
      <c r="DD58" s="218"/>
      <c r="DE58" s="217"/>
      <c r="DF58" s="217"/>
      <c r="DG58" s="218"/>
      <c r="DH58" s="217"/>
      <c r="DI58" s="219"/>
      <c r="DJ58" s="657"/>
      <c r="DK58" s="199"/>
    </row>
    <row r="59" spans="1:115" ht="13.5" customHeight="1">
      <c r="A59" s="199"/>
      <c r="B59" s="198"/>
      <c r="C59" s="316"/>
      <c r="D59" s="317"/>
      <c r="E59" s="316"/>
      <c r="F59" s="316"/>
      <c r="G59" s="316"/>
      <c r="H59" s="316"/>
      <c r="I59" s="316"/>
      <c r="J59" s="316"/>
      <c r="K59" s="316"/>
      <c r="L59" s="316"/>
      <c r="M59" s="316"/>
      <c r="N59" s="316"/>
      <c r="O59" s="316"/>
      <c r="P59" s="316"/>
      <c r="Q59" s="316"/>
      <c r="R59" s="316"/>
      <c r="S59" s="316"/>
      <c r="T59" s="316"/>
      <c r="U59" s="316"/>
      <c r="V59" s="316"/>
      <c r="W59" s="316"/>
      <c r="X59" s="316"/>
      <c r="Y59" s="316"/>
      <c r="Z59" s="316"/>
      <c r="AA59" s="316"/>
      <c r="AB59" s="316"/>
      <c r="AC59" s="316"/>
      <c r="AD59" s="316"/>
      <c r="AE59" s="316"/>
      <c r="AF59" s="316"/>
      <c r="AI59" s="316"/>
      <c r="AJ59" s="316"/>
      <c r="AK59" s="316"/>
      <c r="AL59" s="316"/>
      <c r="AM59" s="316"/>
      <c r="AN59" s="316"/>
      <c r="AO59" s="316"/>
      <c r="AP59" s="316"/>
      <c r="AQ59" s="316"/>
      <c r="AR59" s="316"/>
      <c r="AS59" s="316"/>
      <c r="AT59" s="316"/>
      <c r="AU59" s="316"/>
      <c r="AV59" s="316"/>
      <c r="AW59" s="316"/>
      <c r="AX59" s="316"/>
      <c r="AY59" s="316"/>
      <c r="AZ59" s="316"/>
      <c r="BA59" s="316"/>
      <c r="BB59" s="316"/>
      <c r="BC59" s="316"/>
      <c r="BD59" s="316"/>
      <c r="BE59" s="316"/>
      <c r="BF59" s="316"/>
      <c r="BG59" s="316"/>
      <c r="BH59" s="316"/>
      <c r="BI59" s="316"/>
      <c r="BJ59" s="316"/>
      <c r="BK59" s="316"/>
      <c r="BL59" s="316"/>
      <c r="BM59" s="316"/>
      <c r="BN59" s="199"/>
      <c r="BO59" s="198"/>
      <c r="BP59" s="316"/>
      <c r="BQ59" s="316"/>
      <c r="BR59" s="316"/>
      <c r="BS59" s="316"/>
      <c r="BT59" s="316"/>
      <c r="BU59" s="316"/>
      <c r="BV59" s="316"/>
      <c r="BW59" s="316"/>
      <c r="BX59" s="316"/>
      <c r="BY59" s="316"/>
      <c r="BZ59" s="316"/>
      <c r="CA59" s="316"/>
      <c r="CB59" s="316"/>
      <c r="CC59" s="316"/>
      <c r="CD59" s="316"/>
      <c r="CE59" s="316"/>
      <c r="CF59" s="316"/>
      <c r="CG59" s="316"/>
      <c r="CH59" s="316"/>
      <c r="CI59" s="316"/>
      <c r="CJ59" s="316"/>
      <c r="CK59" s="316"/>
      <c r="CL59" s="316"/>
      <c r="CM59" s="316"/>
      <c r="CN59" s="316"/>
      <c r="CO59" s="317"/>
      <c r="CP59" s="316"/>
      <c r="CQ59" s="316"/>
      <c r="CR59" s="316"/>
      <c r="CS59" s="316"/>
      <c r="CU59" s="316"/>
      <c r="CV59" s="317"/>
      <c r="CW59" s="316"/>
      <c r="CX59" s="316"/>
      <c r="CY59" s="316"/>
      <c r="CZ59" s="316"/>
      <c r="DA59" s="316"/>
      <c r="DB59" s="316"/>
      <c r="DC59" s="316"/>
      <c r="DD59" s="316"/>
      <c r="DE59" s="316"/>
      <c r="DF59" s="316"/>
      <c r="DG59" s="316"/>
      <c r="DH59" s="316"/>
      <c r="DI59" s="316"/>
      <c r="DJ59" s="316"/>
      <c r="DK59" s="316"/>
    </row>
    <row r="60" spans="1:115" ht="13.5" customHeight="1">
      <c r="A60" s="199"/>
      <c r="B60" s="198"/>
      <c r="C60" s="316"/>
      <c r="D60" s="316"/>
      <c r="E60" s="316"/>
      <c r="F60" s="316"/>
      <c r="G60" s="316"/>
      <c r="H60" s="316"/>
      <c r="I60" s="316"/>
      <c r="J60" s="316"/>
      <c r="K60" s="316"/>
      <c r="L60" s="316"/>
      <c r="M60" s="316"/>
      <c r="N60" s="316"/>
      <c r="O60" s="316"/>
      <c r="P60" s="316"/>
      <c r="Q60" s="316"/>
      <c r="R60" s="316"/>
      <c r="S60" s="316"/>
      <c r="T60" s="316"/>
      <c r="U60" s="316"/>
      <c r="V60" s="316"/>
      <c r="W60" s="316"/>
      <c r="X60" s="316"/>
      <c r="Y60" s="316"/>
      <c r="Z60" s="316"/>
      <c r="AA60" s="316"/>
      <c r="AB60" s="316"/>
      <c r="AC60" s="316"/>
      <c r="AD60" s="316"/>
      <c r="AE60" s="316"/>
      <c r="AF60" s="316"/>
      <c r="AI60" s="316"/>
      <c r="AJ60" s="316"/>
      <c r="AK60" s="316"/>
      <c r="AL60" s="316"/>
      <c r="AM60" s="316"/>
      <c r="AN60" s="316"/>
      <c r="AO60" s="316"/>
      <c r="AP60" s="316"/>
      <c r="AQ60" s="316"/>
      <c r="AR60" s="316"/>
      <c r="AS60" s="316"/>
      <c r="AT60" s="316"/>
      <c r="AU60" s="316"/>
      <c r="AV60" s="316"/>
      <c r="AW60" s="316"/>
      <c r="AX60" s="316"/>
      <c r="AY60" s="316"/>
      <c r="AZ60" s="316"/>
      <c r="BA60" s="316"/>
      <c r="BB60" s="316"/>
      <c r="BC60" s="316"/>
      <c r="BD60" s="316"/>
      <c r="BE60" s="316"/>
      <c r="BF60" s="316"/>
      <c r="BG60" s="316"/>
      <c r="BH60" s="316"/>
      <c r="BI60" s="316"/>
      <c r="BJ60" s="316"/>
      <c r="BK60" s="316"/>
      <c r="BL60" s="316"/>
      <c r="BM60" s="316"/>
      <c r="BN60" s="199"/>
      <c r="BO60" s="198"/>
      <c r="BP60" s="316"/>
      <c r="BQ60" s="316"/>
      <c r="BR60" s="316"/>
      <c r="BS60" s="316"/>
      <c r="BT60" s="316"/>
      <c r="BU60" s="316"/>
      <c r="BV60" s="316"/>
      <c r="BW60" s="316"/>
      <c r="BX60" s="316"/>
      <c r="BY60" s="316"/>
      <c r="BZ60" s="316"/>
      <c r="CA60" s="316"/>
      <c r="CB60" s="316"/>
      <c r="CC60" s="316"/>
      <c r="CD60" s="316"/>
      <c r="CE60" s="316"/>
      <c r="CF60" s="316"/>
      <c r="CG60" s="316"/>
      <c r="CH60" s="316"/>
      <c r="CI60" s="316"/>
      <c r="CJ60" s="316"/>
      <c r="CK60" s="316"/>
      <c r="CL60" s="316"/>
      <c r="CM60" s="316"/>
      <c r="CN60" s="316"/>
      <c r="CO60" s="316"/>
      <c r="CP60" s="316"/>
      <c r="CQ60" s="316"/>
      <c r="CR60" s="316"/>
      <c r="CS60" s="316"/>
      <c r="CU60" s="316"/>
      <c r="CV60" s="316"/>
      <c r="CW60" s="316"/>
      <c r="CX60" s="316"/>
      <c r="CY60" s="316"/>
      <c r="CZ60" s="316"/>
      <c r="DA60" s="316"/>
      <c r="DB60" s="316"/>
      <c r="DC60" s="316"/>
      <c r="DD60" s="316"/>
      <c r="DE60" s="316"/>
      <c r="DF60" s="316"/>
      <c r="DG60" s="316"/>
      <c r="DH60" s="316"/>
      <c r="DI60" s="316"/>
      <c r="DJ60" s="316"/>
      <c r="DK60" s="316"/>
    </row>
  </sheetData>
  <sheetProtection/>
  <mergeCells count="189">
    <mergeCell ref="B9:B10"/>
    <mergeCell ref="A15:A16"/>
    <mergeCell ref="B15:B16"/>
    <mergeCell ref="BN15:BN16"/>
    <mergeCell ref="BM11:BM12"/>
    <mergeCell ref="BN11:BN12"/>
    <mergeCell ref="A9:A10"/>
    <mergeCell ref="A11:A12"/>
    <mergeCell ref="B11:B12"/>
    <mergeCell ref="BN9:BN10"/>
    <mergeCell ref="C6:Q6"/>
    <mergeCell ref="F7:N7"/>
    <mergeCell ref="C7:E8"/>
    <mergeCell ref="L8:N8"/>
    <mergeCell ref="F8:H8"/>
    <mergeCell ref="I8:K8"/>
    <mergeCell ref="O7:Q8"/>
    <mergeCell ref="AL7:AT7"/>
    <mergeCell ref="AL8:AN8"/>
    <mergeCell ref="AA8:AC8"/>
    <mergeCell ref="AR8:AT8"/>
    <mergeCell ref="BO9:BO10"/>
    <mergeCell ref="AX6:BL6"/>
    <mergeCell ref="BA7:BI7"/>
    <mergeCell ref="AX7:AZ8"/>
    <mergeCell ref="BJ7:BL8"/>
    <mergeCell ref="BA8:BC8"/>
    <mergeCell ref="BD8:BF8"/>
    <mergeCell ref="BG8:BI8"/>
    <mergeCell ref="BO27:BO28"/>
    <mergeCell ref="BN6:BO8"/>
    <mergeCell ref="BO11:BO12"/>
    <mergeCell ref="BM23:BM24"/>
    <mergeCell ref="BM17:BM18"/>
    <mergeCell ref="BN17:BN18"/>
    <mergeCell ref="BM19:BM20"/>
    <mergeCell ref="BN19:BN20"/>
    <mergeCell ref="BM25:BM26"/>
    <mergeCell ref="BN25:BN26"/>
    <mergeCell ref="BM27:BM28"/>
    <mergeCell ref="BN27:BN28"/>
    <mergeCell ref="BO39:BO40"/>
    <mergeCell ref="BN39:BN40"/>
    <mergeCell ref="BM37:BM38"/>
    <mergeCell ref="BN37:BN38"/>
    <mergeCell ref="BO37:BO38"/>
    <mergeCell ref="BN35:BN36"/>
    <mergeCell ref="BM29:BM30"/>
    <mergeCell ref="BN33:BN34"/>
    <mergeCell ref="BM57:BM58"/>
    <mergeCell ref="BM55:BM56"/>
    <mergeCell ref="BM41:BM42"/>
    <mergeCell ref="BM35:BM36"/>
    <mergeCell ref="BM53:BM54"/>
    <mergeCell ref="BM43:BM44"/>
    <mergeCell ref="BM45:BM46"/>
    <mergeCell ref="DJ57:DJ58"/>
    <mergeCell ref="DJ41:DJ42"/>
    <mergeCell ref="DJ43:DJ44"/>
    <mergeCell ref="DJ45:DJ46"/>
    <mergeCell ref="DJ51:DJ52"/>
    <mergeCell ref="DJ53:DJ54"/>
    <mergeCell ref="DJ55:DJ56"/>
    <mergeCell ref="DJ47:DJ48"/>
    <mergeCell ref="DJ11:DJ12"/>
    <mergeCell ref="DJ35:DJ36"/>
    <mergeCell ref="DJ13:DJ14"/>
    <mergeCell ref="DJ25:DJ26"/>
    <mergeCell ref="DJ29:DJ30"/>
    <mergeCell ref="DJ37:DJ38"/>
    <mergeCell ref="DJ21:DJ22"/>
    <mergeCell ref="DJ19:DJ20"/>
    <mergeCell ref="DJ23:DJ24"/>
    <mergeCell ref="DJ27:DJ28"/>
    <mergeCell ref="BM13:BM14"/>
    <mergeCell ref="BN13:BN14"/>
    <mergeCell ref="BM21:BM22"/>
    <mergeCell ref="BN21:BN22"/>
    <mergeCell ref="BN23:BN24"/>
    <mergeCell ref="BO15:BO16"/>
    <mergeCell ref="BO17:BO18"/>
    <mergeCell ref="DJ17:DJ18"/>
    <mergeCell ref="BO13:BO14"/>
    <mergeCell ref="BO19:BO20"/>
    <mergeCell ref="BO23:BO24"/>
    <mergeCell ref="BO25:BO26"/>
    <mergeCell ref="BO21:BO22"/>
    <mergeCell ref="BO33:BO34"/>
    <mergeCell ref="BO35:BO36"/>
    <mergeCell ref="BN29:BN30"/>
    <mergeCell ref="BN31:BO32"/>
    <mergeCell ref="BO29:BO30"/>
    <mergeCell ref="A6:B8"/>
    <mergeCell ref="B29:B30"/>
    <mergeCell ref="A25:A26"/>
    <mergeCell ref="B25:B26"/>
    <mergeCell ref="A27:A28"/>
    <mergeCell ref="B27:B28"/>
    <mergeCell ref="A21:A22"/>
    <mergeCell ref="B23:B24"/>
    <mergeCell ref="A13:A14"/>
    <mergeCell ref="B13:B14"/>
    <mergeCell ref="A57:A58"/>
    <mergeCell ref="B57:B58"/>
    <mergeCell ref="A53:A54"/>
    <mergeCell ref="B53:B54"/>
    <mergeCell ref="A55:A56"/>
    <mergeCell ref="B55:B56"/>
    <mergeCell ref="A47:A48"/>
    <mergeCell ref="A51:A52"/>
    <mergeCell ref="B51:B52"/>
    <mergeCell ref="BM51:BM52"/>
    <mergeCell ref="A49:A50"/>
    <mergeCell ref="B49:B50"/>
    <mergeCell ref="B47:B48"/>
    <mergeCell ref="BM47:BM48"/>
    <mergeCell ref="BN45:BN46"/>
    <mergeCell ref="BN41:BN42"/>
    <mergeCell ref="BN43:BN44"/>
    <mergeCell ref="BO49:BO50"/>
    <mergeCell ref="BO47:BO48"/>
    <mergeCell ref="BN49:BN50"/>
    <mergeCell ref="BO41:BO42"/>
    <mergeCell ref="BN47:BN48"/>
    <mergeCell ref="BO45:BO46"/>
    <mergeCell ref="BO43:BO44"/>
    <mergeCell ref="BN57:BN58"/>
    <mergeCell ref="BN55:BN56"/>
    <mergeCell ref="BO57:BO58"/>
    <mergeCell ref="BO55:BO56"/>
    <mergeCell ref="BO51:BO52"/>
    <mergeCell ref="BO53:BO54"/>
    <mergeCell ref="BN53:BN54"/>
    <mergeCell ref="BN51:BN52"/>
    <mergeCell ref="R6:AF6"/>
    <mergeCell ref="U7:AC7"/>
    <mergeCell ref="AI6:AW6"/>
    <mergeCell ref="R7:T8"/>
    <mergeCell ref="AI7:AK8"/>
    <mergeCell ref="AU7:AW8"/>
    <mergeCell ref="U8:W8"/>
    <mergeCell ref="X8:Z8"/>
    <mergeCell ref="AO8:AQ8"/>
    <mergeCell ref="AD7:AF8"/>
    <mergeCell ref="BP6:CD6"/>
    <mergeCell ref="BS7:CA7"/>
    <mergeCell ref="BP7:BR8"/>
    <mergeCell ref="BY8:CA8"/>
    <mergeCell ref="CB7:CD8"/>
    <mergeCell ref="BV8:BX8"/>
    <mergeCell ref="BS8:BU8"/>
    <mergeCell ref="DG7:DI8"/>
    <mergeCell ref="CE6:CS6"/>
    <mergeCell ref="CH7:CP7"/>
    <mergeCell ref="CE7:CG8"/>
    <mergeCell ref="CH8:CJ8"/>
    <mergeCell ref="CK8:CM8"/>
    <mergeCell ref="CN8:CP8"/>
    <mergeCell ref="CQ7:CS8"/>
    <mergeCell ref="CU6:DI6"/>
    <mergeCell ref="CX7:DF7"/>
    <mergeCell ref="A17:A18"/>
    <mergeCell ref="A29:A30"/>
    <mergeCell ref="B21:B22"/>
    <mergeCell ref="A23:A24"/>
    <mergeCell ref="CX8:CZ8"/>
    <mergeCell ref="DA8:DC8"/>
    <mergeCell ref="DD8:DF8"/>
    <mergeCell ref="CU7:CW8"/>
    <mergeCell ref="BH1:BM1"/>
    <mergeCell ref="DN1:DS1"/>
    <mergeCell ref="A39:A40"/>
    <mergeCell ref="B39:B40"/>
    <mergeCell ref="A35:A36"/>
    <mergeCell ref="B35:B36"/>
    <mergeCell ref="A31:B32"/>
    <mergeCell ref="B17:B18"/>
    <mergeCell ref="A19:A20"/>
    <mergeCell ref="B19:B20"/>
    <mergeCell ref="A37:A38"/>
    <mergeCell ref="B37:B38"/>
    <mergeCell ref="A33:A34"/>
    <mergeCell ref="B33:B34"/>
    <mergeCell ref="A41:A42"/>
    <mergeCell ref="B41:B42"/>
    <mergeCell ref="A45:A46"/>
    <mergeCell ref="B45:B46"/>
    <mergeCell ref="A43:A44"/>
    <mergeCell ref="B43:B44"/>
  </mergeCells>
  <printOptions horizontalCentered="1"/>
  <pageMargins left="0.3937007874015748" right="0.3937007874015748" top="0.5905511811023623" bottom="0.3937007874015748" header="0" footer="0"/>
  <pageSetup horizontalDpi="600" verticalDpi="600" orientation="portrait" pageOrder="overThenDown" paperSize="9" scale="70" r:id="rId1"/>
  <colBreaks count="3" manualBreakCount="3">
    <brk id="34" max="83" man="1"/>
    <brk id="65" max="83" man="1"/>
    <brk id="98" max="83" man="1"/>
  </colBreaks>
</worksheet>
</file>

<file path=xl/worksheets/sheet8.xml><?xml version="1.0" encoding="utf-8"?>
<worksheet xmlns="http://schemas.openxmlformats.org/spreadsheetml/2006/main" xmlns:r="http://schemas.openxmlformats.org/officeDocument/2006/relationships">
  <dimension ref="A1:R86"/>
  <sheetViews>
    <sheetView zoomScalePageLayoutView="0" workbookViewId="0" topLeftCell="A16">
      <selection activeCell="P47" sqref="P47"/>
    </sheetView>
  </sheetViews>
  <sheetFormatPr defaultColWidth="9.00390625" defaultRowHeight="13.5"/>
  <cols>
    <col min="1" max="1" width="13.625" style="401" customWidth="1"/>
    <col min="2" max="3" width="7.625" style="322" customWidth="1"/>
    <col min="4" max="4" width="7.50390625" style="322" customWidth="1"/>
    <col min="5" max="15" width="7.625" style="322" customWidth="1"/>
    <col min="16" max="16384" width="9.00390625" style="322" customWidth="1"/>
  </cols>
  <sheetData>
    <row r="1" ht="13.5">
      <c r="A1" s="500" t="s">
        <v>305</v>
      </c>
    </row>
    <row r="4" spans="1:11" s="325" customFormat="1" ht="17.25">
      <c r="A4" s="323" t="s">
        <v>200</v>
      </c>
      <c r="B4" s="324"/>
      <c r="C4" s="324"/>
      <c r="D4" s="324"/>
      <c r="E4" s="324"/>
      <c r="F4" s="324"/>
      <c r="G4" s="324"/>
      <c r="H4" s="324"/>
      <c r="I4" s="324"/>
      <c r="J4" s="324"/>
      <c r="K4" s="324"/>
    </row>
    <row r="5" spans="1:15" s="325" customFormat="1" ht="14.25" thickBot="1">
      <c r="A5" s="324"/>
      <c r="B5" s="324"/>
      <c r="C5" s="324"/>
      <c r="D5" s="324"/>
      <c r="E5" s="324"/>
      <c r="F5" s="324"/>
      <c r="G5" s="324"/>
      <c r="H5" s="324"/>
      <c r="I5" s="324"/>
      <c r="J5" s="324"/>
      <c r="K5" s="322"/>
      <c r="O5" s="326" t="s">
        <v>201</v>
      </c>
    </row>
    <row r="6" spans="1:15" s="327" customFormat="1" ht="19.5" customHeight="1">
      <c r="A6" s="670" t="s">
        <v>202</v>
      </c>
      <c r="B6" s="671"/>
      <c r="C6" s="510" t="s">
        <v>69</v>
      </c>
      <c r="D6" s="505"/>
      <c r="E6" s="505"/>
      <c r="F6" s="506"/>
      <c r="G6" s="510" t="s">
        <v>70</v>
      </c>
      <c r="H6" s="505"/>
      <c r="I6" s="505"/>
      <c r="J6" s="544"/>
      <c r="K6" s="673" t="s">
        <v>304</v>
      </c>
      <c r="L6" s="674"/>
      <c r="M6" s="674"/>
      <c r="N6" s="675"/>
      <c r="O6" s="662" t="s">
        <v>203</v>
      </c>
    </row>
    <row r="7" spans="1:15" s="327" customFormat="1" ht="19.5" customHeight="1">
      <c r="A7" s="672"/>
      <c r="B7" s="667"/>
      <c r="C7" s="328" t="s">
        <v>204</v>
      </c>
      <c r="D7" s="329" t="s">
        <v>205</v>
      </c>
      <c r="E7" s="664" t="s">
        <v>206</v>
      </c>
      <c r="F7" s="665"/>
      <c r="G7" s="330" t="s">
        <v>204</v>
      </c>
      <c r="H7" s="331" t="s">
        <v>205</v>
      </c>
      <c r="I7" s="666" t="s">
        <v>206</v>
      </c>
      <c r="J7" s="667"/>
      <c r="K7" s="332" t="s">
        <v>204</v>
      </c>
      <c r="L7" s="333" t="s">
        <v>205</v>
      </c>
      <c r="M7" s="668" t="s">
        <v>206</v>
      </c>
      <c r="N7" s="669"/>
      <c r="O7" s="663"/>
    </row>
    <row r="8" spans="1:15" s="327" customFormat="1" ht="19.5" customHeight="1">
      <c r="A8" s="676" t="s">
        <v>207</v>
      </c>
      <c r="B8" s="677"/>
      <c r="C8" s="334">
        <v>16</v>
      </c>
      <c r="D8" s="335">
        <v>18.0361</v>
      </c>
      <c r="E8" s="678">
        <v>3834067</v>
      </c>
      <c r="F8" s="679"/>
      <c r="G8" s="334">
        <v>16</v>
      </c>
      <c r="H8" s="336">
        <v>16.0044</v>
      </c>
      <c r="I8" s="678">
        <v>1875605</v>
      </c>
      <c r="J8" s="679"/>
      <c r="K8" s="337">
        <v>12</v>
      </c>
      <c r="L8" s="338">
        <v>13.8786</v>
      </c>
      <c r="M8" s="680">
        <v>1349830</v>
      </c>
      <c r="N8" s="682"/>
      <c r="O8" s="339"/>
    </row>
    <row r="9" spans="1:15" s="327" customFormat="1" ht="19.5" customHeight="1">
      <c r="A9" s="676" t="s">
        <v>208</v>
      </c>
      <c r="B9" s="677"/>
      <c r="C9" s="334">
        <v>45</v>
      </c>
      <c r="D9" s="335">
        <v>14.5245</v>
      </c>
      <c r="E9" s="678">
        <v>2148909</v>
      </c>
      <c r="F9" s="679"/>
      <c r="G9" s="334">
        <v>35</v>
      </c>
      <c r="H9" s="336">
        <v>14.294</v>
      </c>
      <c r="I9" s="678">
        <v>893378</v>
      </c>
      <c r="J9" s="679"/>
      <c r="K9" s="337">
        <v>30</v>
      </c>
      <c r="L9" s="338">
        <v>12.2749</v>
      </c>
      <c r="M9" s="680">
        <v>487881</v>
      </c>
      <c r="N9" s="681"/>
      <c r="O9" s="339"/>
    </row>
    <row r="10" spans="1:15" s="327" customFormat="1" ht="19.5" customHeight="1">
      <c r="A10" s="683" t="s">
        <v>209</v>
      </c>
      <c r="B10" s="665"/>
      <c r="C10" s="334">
        <f>SUM(C8:C9)</f>
        <v>61</v>
      </c>
      <c r="D10" s="335">
        <f>SUM(D8:D9)</f>
        <v>32.5606</v>
      </c>
      <c r="E10" s="678">
        <f>SUM(E8:E9)</f>
        <v>5982976</v>
      </c>
      <c r="F10" s="679"/>
      <c r="G10" s="334">
        <f>SUM(G8:G9)</f>
        <v>51</v>
      </c>
      <c r="H10" s="340">
        <f>SUM(H8:H9)</f>
        <v>30.2984</v>
      </c>
      <c r="I10" s="678">
        <f>SUM(I8:I9)</f>
        <v>2768983</v>
      </c>
      <c r="J10" s="679"/>
      <c r="K10" s="337">
        <f>SUM(K8:K9)</f>
        <v>42</v>
      </c>
      <c r="L10" s="338">
        <f>SUM(L8:L9)</f>
        <v>26.1535</v>
      </c>
      <c r="M10" s="680">
        <f>SUM(M8:N9)</f>
        <v>1837711</v>
      </c>
      <c r="N10" s="682"/>
      <c r="O10" s="339"/>
    </row>
    <row r="11" spans="1:15" s="327" customFormat="1" ht="19.5" customHeight="1">
      <c r="A11" s="676" t="s">
        <v>210</v>
      </c>
      <c r="B11" s="677"/>
      <c r="C11" s="334">
        <v>19</v>
      </c>
      <c r="D11" s="335">
        <v>6.1745</v>
      </c>
      <c r="E11" s="678">
        <v>391591</v>
      </c>
      <c r="F11" s="679"/>
      <c r="G11" s="334">
        <v>10</v>
      </c>
      <c r="H11" s="336">
        <v>4.8188</v>
      </c>
      <c r="I11" s="678">
        <v>157267</v>
      </c>
      <c r="J11" s="679"/>
      <c r="K11" s="337">
        <v>7</v>
      </c>
      <c r="L11" s="338">
        <v>3.6526</v>
      </c>
      <c r="M11" s="680">
        <v>72235</v>
      </c>
      <c r="N11" s="682"/>
      <c r="O11" s="339"/>
    </row>
    <row r="12" spans="1:15" s="327" customFormat="1" ht="19.5" customHeight="1">
      <c r="A12" s="676" t="s">
        <v>211</v>
      </c>
      <c r="B12" s="677"/>
      <c r="C12" s="334">
        <v>2</v>
      </c>
      <c r="D12" s="335">
        <v>1.4907</v>
      </c>
      <c r="E12" s="678">
        <v>60896</v>
      </c>
      <c r="F12" s="679"/>
      <c r="G12" s="334">
        <v>2</v>
      </c>
      <c r="H12" s="336">
        <v>1.4274</v>
      </c>
      <c r="I12" s="678">
        <v>13062</v>
      </c>
      <c r="J12" s="679"/>
      <c r="K12" s="337">
        <v>1</v>
      </c>
      <c r="L12" s="338">
        <v>0.7074</v>
      </c>
      <c r="M12" s="680">
        <v>9739</v>
      </c>
      <c r="N12" s="682"/>
      <c r="O12" s="339"/>
    </row>
    <row r="13" spans="1:15" s="327" customFormat="1" ht="19.5" customHeight="1">
      <c r="A13" s="676" t="s">
        <v>212</v>
      </c>
      <c r="B13" s="677"/>
      <c r="C13" s="334">
        <v>5</v>
      </c>
      <c r="D13" s="335">
        <v>40.7717</v>
      </c>
      <c r="E13" s="678">
        <v>3578793</v>
      </c>
      <c r="F13" s="679"/>
      <c r="G13" s="334">
        <v>2</v>
      </c>
      <c r="H13" s="336">
        <v>11.0719</v>
      </c>
      <c r="I13" s="678">
        <v>397409</v>
      </c>
      <c r="J13" s="679"/>
      <c r="K13" s="337">
        <v>2</v>
      </c>
      <c r="L13" s="338">
        <v>11.0719</v>
      </c>
      <c r="M13" s="680">
        <v>254947</v>
      </c>
      <c r="N13" s="682"/>
      <c r="O13" s="339"/>
    </row>
    <row r="14" spans="1:15" s="327" customFormat="1" ht="19.5" customHeight="1">
      <c r="A14" s="676" t="s">
        <v>213</v>
      </c>
      <c r="B14" s="677"/>
      <c r="C14" s="341">
        <v>0</v>
      </c>
      <c r="D14" s="341">
        <v>0</v>
      </c>
      <c r="E14" s="684">
        <v>0</v>
      </c>
      <c r="F14" s="685"/>
      <c r="G14" s="342">
        <v>0</v>
      </c>
      <c r="H14" s="343">
        <v>0</v>
      </c>
      <c r="I14" s="686">
        <v>0</v>
      </c>
      <c r="J14" s="687"/>
      <c r="K14" s="344">
        <v>0</v>
      </c>
      <c r="L14" s="344">
        <v>0</v>
      </c>
      <c r="M14" s="684">
        <v>0</v>
      </c>
      <c r="N14" s="685"/>
      <c r="O14" s="339"/>
    </row>
    <row r="15" spans="1:15" s="327" customFormat="1" ht="19.5" customHeight="1">
      <c r="A15" s="683" t="s">
        <v>214</v>
      </c>
      <c r="B15" s="665"/>
      <c r="C15" s="334">
        <f>SUM(C11:C14)</f>
        <v>26</v>
      </c>
      <c r="D15" s="335">
        <f>SUM(D11:D14)</f>
        <v>48.4369</v>
      </c>
      <c r="E15" s="678">
        <f>SUM(E11:E14)</f>
        <v>4031280</v>
      </c>
      <c r="F15" s="679"/>
      <c r="G15" s="334">
        <f>SUM(G11:G14)</f>
        <v>14</v>
      </c>
      <c r="H15" s="340">
        <f>SUM(H11:H14)</f>
        <v>17.3181</v>
      </c>
      <c r="I15" s="678">
        <f>SUM(I11:I14)</f>
        <v>567738</v>
      </c>
      <c r="J15" s="679"/>
      <c r="K15" s="337">
        <f>SUM(K11:K14)</f>
        <v>10</v>
      </c>
      <c r="L15" s="338">
        <f>SUM(L11:L14)</f>
        <v>15.431899999999999</v>
      </c>
      <c r="M15" s="680">
        <f>SUM(M11:M14)</f>
        <v>336921</v>
      </c>
      <c r="N15" s="682"/>
      <c r="O15" s="339"/>
    </row>
    <row r="16" spans="1:15" s="327" customFormat="1" ht="19.5" customHeight="1" thickBot="1">
      <c r="A16" s="698" t="s">
        <v>215</v>
      </c>
      <c r="B16" s="699"/>
      <c r="C16" s="345">
        <f>C15+C10</f>
        <v>87</v>
      </c>
      <c r="D16" s="346">
        <f>D15+D10</f>
        <v>80.9975</v>
      </c>
      <c r="E16" s="688">
        <f>E15+E10</f>
        <v>10014256</v>
      </c>
      <c r="F16" s="689"/>
      <c r="G16" s="345">
        <f>G15+G10</f>
        <v>65</v>
      </c>
      <c r="H16" s="347">
        <f>H15+H10</f>
        <v>47.6165</v>
      </c>
      <c r="I16" s="688">
        <f>I15+I10</f>
        <v>3336721</v>
      </c>
      <c r="J16" s="689"/>
      <c r="K16" s="348">
        <f>K15+K10</f>
        <v>52</v>
      </c>
      <c r="L16" s="349">
        <f>L15+L10</f>
        <v>41.5854</v>
      </c>
      <c r="M16" s="690">
        <f>M15+M10</f>
        <v>2174632</v>
      </c>
      <c r="N16" s="691"/>
      <c r="O16" s="350"/>
    </row>
    <row r="18" spans="1:5" ht="13.5">
      <c r="A18" s="351" t="s">
        <v>216</v>
      </c>
      <c r="B18" s="29"/>
      <c r="C18" s="352"/>
      <c r="D18" s="353"/>
      <c r="E18" s="29"/>
    </row>
    <row r="19" spans="1:5" ht="13.5">
      <c r="A19" s="351"/>
      <c r="B19" s="29"/>
      <c r="C19" s="29"/>
      <c r="D19" s="29"/>
      <c r="E19" s="29"/>
    </row>
    <row r="20" spans="1:5" ht="13.5">
      <c r="A20" s="351"/>
      <c r="B20" s="29"/>
      <c r="C20" s="29"/>
      <c r="D20" s="29"/>
      <c r="E20" s="29"/>
    </row>
    <row r="25" spans="1:5" ht="17.25">
      <c r="A25" s="323" t="s">
        <v>217</v>
      </c>
      <c r="B25" s="354"/>
      <c r="C25" s="354"/>
      <c r="D25" s="354"/>
      <c r="E25" s="354"/>
    </row>
    <row r="26" spans="1:15" s="44" customFormat="1" ht="12">
      <c r="A26" s="47"/>
      <c r="M26" s="47"/>
      <c r="O26" s="355" t="s">
        <v>218</v>
      </c>
    </row>
    <row r="27" spans="1:15" s="46" customFormat="1" ht="19.5" customHeight="1">
      <c r="A27" s="692" t="s">
        <v>219</v>
      </c>
      <c r="B27" s="694" t="s">
        <v>303</v>
      </c>
      <c r="C27" s="695"/>
      <c r="D27" s="696" t="s">
        <v>220</v>
      </c>
      <c r="E27" s="697"/>
      <c r="F27" s="696" t="s">
        <v>221</v>
      </c>
      <c r="G27" s="697"/>
      <c r="H27" s="696" t="s">
        <v>222</v>
      </c>
      <c r="I27" s="697"/>
      <c r="J27" s="696" t="s">
        <v>223</v>
      </c>
      <c r="K27" s="697"/>
      <c r="L27" s="700" t="s">
        <v>302</v>
      </c>
      <c r="M27" s="701"/>
      <c r="N27" s="694" t="s">
        <v>224</v>
      </c>
      <c r="O27" s="695"/>
    </row>
    <row r="28" spans="1:18" s="46" customFormat="1" ht="19.5" customHeight="1">
      <c r="A28" s="693"/>
      <c r="B28" s="356" t="s">
        <v>225</v>
      </c>
      <c r="C28" s="357" t="s">
        <v>226</v>
      </c>
      <c r="D28" s="356" t="s">
        <v>225</v>
      </c>
      <c r="E28" s="357" t="s">
        <v>226</v>
      </c>
      <c r="F28" s="358" t="s">
        <v>225</v>
      </c>
      <c r="G28" s="359" t="s">
        <v>226</v>
      </c>
      <c r="H28" s="358" t="s">
        <v>225</v>
      </c>
      <c r="I28" s="359" t="s">
        <v>226</v>
      </c>
      <c r="J28" s="358" t="s">
        <v>225</v>
      </c>
      <c r="K28" s="359" t="s">
        <v>226</v>
      </c>
      <c r="L28" s="360" t="s">
        <v>225</v>
      </c>
      <c r="M28" s="361" t="s">
        <v>226</v>
      </c>
      <c r="N28" s="356" t="s">
        <v>225</v>
      </c>
      <c r="O28" s="357" t="s">
        <v>226</v>
      </c>
      <c r="P28" s="362" t="s">
        <v>227</v>
      </c>
      <c r="Q28" s="362" t="s">
        <v>228</v>
      </c>
      <c r="R28" s="362" t="s">
        <v>229</v>
      </c>
    </row>
    <row r="29" spans="1:16" s="40" customFormat="1" ht="19.5" customHeight="1">
      <c r="A29" s="692" t="s">
        <v>230</v>
      </c>
      <c r="B29" s="363"/>
      <c r="C29" s="364"/>
      <c r="D29" s="363"/>
      <c r="E29" s="364"/>
      <c r="F29" s="365"/>
      <c r="G29" s="366"/>
      <c r="H29" s="365"/>
      <c r="I29" s="366"/>
      <c r="J29" s="365"/>
      <c r="K29" s="366"/>
      <c r="L29" s="367"/>
      <c r="M29" s="368"/>
      <c r="N29" s="363"/>
      <c r="O29" s="364"/>
      <c r="P29" s="362" t="s">
        <v>227</v>
      </c>
    </row>
    <row r="30" spans="1:17" s="40" customFormat="1" ht="19.5" customHeight="1">
      <c r="A30" s="693"/>
      <c r="B30" s="369">
        <v>15</v>
      </c>
      <c r="C30" s="370">
        <v>61</v>
      </c>
      <c r="D30" s="369"/>
      <c r="E30" s="370"/>
      <c r="F30" s="371"/>
      <c r="G30" s="372"/>
      <c r="H30" s="371"/>
      <c r="I30" s="372"/>
      <c r="J30" s="371">
        <v>2</v>
      </c>
      <c r="K30" s="372">
        <v>10</v>
      </c>
      <c r="L30" s="373"/>
      <c r="M30" s="374"/>
      <c r="N30" s="375">
        <f>L30+J30+H30+F30+D30+B30</f>
        <v>17</v>
      </c>
      <c r="O30" s="376">
        <f>M30+K30+I30+G30+E30+C30</f>
        <v>71</v>
      </c>
      <c r="P30" s="362" t="s">
        <v>227</v>
      </c>
      <c r="Q30" s="40" t="s">
        <v>231</v>
      </c>
    </row>
    <row r="31" spans="1:17" s="40" customFormat="1" ht="19.5" customHeight="1">
      <c r="A31" s="692" t="s">
        <v>232</v>
      </c>
      <c r="B31" s="363"/>
      <c r="C31" s="364"/>
      <c r="D31" s="363"/>
      <c r="E31" s="364"/>
      <c r="F31" s="365"/>
      <c r="G31" s="366"/>
      <c r="H31" s="365"/>
      <c r="I31" s="366"/>
      <c r="J31" s="365"/>
      <c r="K31" s="366"/>
      <c r="L31" s="367"/>
      <c r="M31" s="368"/>
      <c r="N31" s="363"/>
      <c r="O31" s="364"/>
      <c r="P31" s="362" t="s">
        <v>227</v>
      </c>
      <c r="Q31" s="40" t="s">
        <v>233</v>
      </c>
    </row>
    <row r="32" spans="1:17" s="40" customFormat="1" ht="19.5" customHeight="1">
      <c r="A32" s="693"/>
      <c r="B32" s="369">
        <v>14</v>
      </c>
      <c r="C32" s="370">
        <v>77</v>
      </c>
      <c r="D32" s="369"/>
      <c r="E32" s="370"/>
      <c r="F32" s="371"/>
      <c r="G32" s="372"/>
      <c r="H32" s="371"/>
      <c r="I32" s="372"/>
      <c r="J32" s="371"/>
      <c r="K32" s="372"/>
      <c r="L32" s="373"/>
      <c r="M32" s="374"/>
      <c r="N32" s="375">
        <f>L32+J32+H32+F32+D32+B32</f>
        <v>14</v>
      </c>
      <c r="O32" s="376">
        <f>M32+K32+I32+G32+E32+C32</f>
        <v>77</v>
      </c>
      <c r="P32" s="362" t="s">
        <v>227</v>
      </c>
      <c r="Q32" s="40" t="s">
        <v>234</v>
      </c>
    </row>
    <row r="33" spans="1:17" s="40" customFormat="1" ht="19.5" customHeight="1">
      <c r="A33" s="692" t="s">
        <v>235</v>
      </c>
      <c r="B33" s="363"/>
      <c r="C33" s="364"/>
      <c r="D33" s="363"/>
      <c r="E33" s="364"/>
      <c r="F33" s="365"/>
      <c r="G33" s="366"/>
      <c r="H33" s="365"/>
      <c r="I33" s="366"/>
      <c r="J33" s="365"/>
      <c r="K33" s="366"/>
      <c r="L33" s="367"/>
      <c r="M33" s="368"/>
      <c r="N33" s="363"/>
      <c r="O33" s="364"/>
      <c r="P33" s="362" t="s">
        <v>227</v>
      </c>
      <c r="Q33" s="40" t="s">
        <v>236</v>
      </c>
    </row>
    <row r="34" spans="1:17" s="40" customFormat="1" ht="19.5" customHeight="1">
      <c r="A34" s="693"/>
      <c r="B34" s="369">
        <v>17</v>
      </c>
      <c r="C34" s="370">
        <v>80</v>
      </c>
      <c r="D34" s="369"/>
      <c r="E34" s="370"/>
      <c r="F34" s="371"/>
      <c r="G34" s="372"/>
      <c r="H34" s="371"/>
      <c r="I34" s="372"/>
      <c r="J34" s="371"/>
      <c r="K34" s="372"/>
      <c r="L34" s="373"/>
      <c r="M34" s="374"/>
      <c r="N34" s="375">
        <f>L34+J34+H34+F34+D34+B34</f>
        <v>17</v>
      </c>
      <c r="O34" s="376">
        <f>M34+K34+I34+G34+E34+C34</f>
        <v>80</v>
      </c>
      <c r="P34" s="362" t="s">
        <v>227</v>
      </c>
      <c r="Q34" s="40" t="s">
        <v>233</v>
      </c>
    </row>
    <row r="35" spans="1:17" s="40" customFormat="1" ht="19.5" customHeight="1">
      <c r="A35" s="692" t="s">
        <v>237</v>
      </c>
      <c r="B35" s="363"/>
      <c r="C35" s="364"/>
      <c r="D35" s="363"/>
      <c r="E35" s="364"/>
      <c r="F35" s="365"/>
      <c r="G35" s="366"/>
      <c r="H35" s="365"/>
      <c r="I35" s="366"/>
      <c r="J35" s="365"/>
      <c r="K35" s="366"/>
      <c r="L35" s="367"/>
      <c r="M35" s="368"/>
      <c r="N35" s="363"/>
      <c r="O35" s="364"/>
      <c r="P35" s="362" t="s">
        <v>227</v>
      </c>
      <c r="Q35" s="40" t="s">
        <v>238</v>
      </c>
    </row>
    <row r="36" spans="1:17" s="40" customFormat="1" ht="19.5" customHeight="1">
      <c r="A36" s="693"/>
      <c r="B36" s="369">
        <v>70</v>
      </c>
      <c r="C36" s="370">
        <v>2960</v>
      </c>
      <c r="D36" s="369"/>
      <c r="E36" s="370"/>
      <c r="F36" s="371">
        <v>1</v>
      </c>
      <c r="G36" s="372">
        <v>2</v>
      </c>
      <c r="H36" s="371">
        <v>1</v>
      </c>
      <c r="I36" s="372">
        <v>3</v>
      </c>
      <c r="J36" s="371">
        <v>1</v>
      </c>
      <c r="K36" s="372">
        <v>7</v>
      </c>
      <c r="L36" s="373"/>
      <c r="M36" s="374"/>
      <c r="N36" s="375">
        <f>L36+J36+H36+F36+D36+B36</f>
        <v>73</v>
      </c>
      <c r="O36" s="377">
        <f>M36+K36+I36+G36+E36+C36</f>
        <v>2972</v>
      </c>
      <c r="P36" s="362" t="s">
        <v>227</v>
      </c>
      <c r="Q36" s="40" t="s">
        <v>239</v>
      </c>
    </row>
    <row r="37" spans="1:15" s="40" customFormat="1" ht="19.5" customHeight="1">
      <c r="A37" s="692" t="s">
        <v>240</v>
      </c>
      <c r="B37" s="363"/>
      <c r="C37" s="364"/>
      <c r="D37" s="363"/>
      <c r="E37" s="364"/>
      <c r="F37" s="365"/>
      <c r="G37" s="366"/>
      <c r="H37" s="365"/>
      <c r="I37" s="366"/>
      <c r="J37" s="365"/>
      <c r="K37" s="366"/>
      <c r="L37" s="367"/>
      <c r="M37" s="368"/>
      <c r="N37" s="363"/>
      <c r="O37" s="364"/>
    </row>
    <row r="38" spans="1:15" s="40" customFormat="1" ht="19.5" customHeight="1">
      <c r="A38" s="693"/>
      <c r="B38" s="369">
        <v>29</v>
      </c>
      <c r="C38" s="370">
        <v>166</v>
      </c>
      <c r="D38" s="369"/>
      <c r="E38" s="370"/>
      <c r="F38" s="371"/>
      <c r="G38" s="372"/>
      <c r="H38" s="371"/>
      <c r="I38" s="372"/>
      <c r="J38" s="371"/>
      <c r="K38" s="372"/>
      <c r="L38" s="373"/>
      <c r="M38" s="374"/>
      <c r="N38" s="375">
        <f>L38+J38+H38+F38+D38+B38</f>
        <v>29</v>
      </c>
      <c r="O38" s="376">
        <f>M38+K38+I38+G38+E38+C38</f>
        <v>166</v>
      </c>
    </row>
    <row r="39" spans="1:15" s="40" customFormat="1" ht="19.5" customHeight="1">
      <c r="A39" s="692" t="s">
        <v>241</v>
      </c>
      <c r="B39" s="363"/>
      <c r="C39" s="364"/>
      <c r="D39" s="363"/>
      <c r="E39" s="364"/>
      <c r="F39" s="365"/>
      <c r="G39" s="366"/>
      <c r="H39" s="365"/>
      <c r="I39" s="366"/>
      <c r="J39" s="365"/>
      <c r="K39" s="366"/>
      <c r="L39" s="367"/>
      <c r="M39" s="368"/>
      <c r="N39" s="363"/>
      <c r="O39" s="364"/>
    </row>
    <row r="40" spans="1:15" s="40" customFormat="1" ht="19.5" customHeight="1">
      <c r="A40" s="693"/>
      <c r="B40" s="369">
        <v>58</v>
      </c>
      <c r="C40" s="370">
        <v>231</v>
      </c>
      <c r="D40" s="369"/>
      <c r="E40" s="370"/>
      <c r="F40" s="371"/>
      <c r="G40" s="372"/>
      <c r="H40" s="371"/>
      <c r="I40" s="372"/>
      <c r="J40" s="371"/>
      <c r="K40" s="372"/>
      <c r="L40" s="373"/>
      <c r="M40" s="374"/>
      <c r="N40" s="375">
        <f>L40+J40+H40+F40+D40+B40</f>
        <v>58</v>
      </c>
      <c r="O40" s="376">
        <f>M40+K40+I40+G40+E40+C40</f>
        <v>231</v>
      </c>
    </row>
    <row r="41" spans="1:15" s="40" customFormat="1" ht="19.5" customHeight="1">
      <c r="A41" s="692" t="s">
        <v>242</v>
      </c>
      <c r="B41" s="363"/>
      <c r="C41" s="364"/>
      <c r="D41" s="363"/>
      <c r="E41" s="364"/>
      <c r="F41" s="365"/>
      <c r="G41" s="366"/>
      <c r="H41" s="365"/>
      <c r="I41" s="366"/>
      <c r="J41" s="365"/>
      <c r="K41" s="366"/>
      <c r="L41" s="367"/>
      <c r="M41" s="368"/>
      <c r="N41" s="363"/>
      <c r="O41" s="364"/>
    </row>
    <row r="42" spans="1:15" s="40" customFormat="1" ht="19.5" customHeight="1">
      <c r="A42" s="693"/>
      <c r="B42" s="369">
        <v>209</v>
      </c>
      <c r="C42" s="370">
        <v>475</v>
      </c>
      <c r="D42" s="369"/>
      <c r="E42" s="370"/>
      <c r="F42" s="371">
        <v>1</v>
      </c>
      <c r="G42" s="372">
        <v>4</v>
      </c>
      <c r="H42" s="371"/>
      <c r="I42" s="372"/>
      <c r="J42" s="371">
        <v>1</v>
      </c>
      <c r="K42" s="372">
        <v>1</v>
      </c>
      <c r="L42" s="373"/>
      <c r="M42" s="374"/>
      <c r="N42" s="375">
        <f>L42+J42+H42+F42+D42+B42</f>
        <v>211</v>
      </c>
      <c r="O42" s="376">
        <f>M42+K42+I42+G42+E42+C42</f>
        <v>480</v>
      </c>
    </row>
    <row r="43" spans="1:15" s="40" customFormat="1" ht="19.5" customHeight="1">
      <c r="A43" s="692" t="s">
        <v>243</v>
      </c>
      <c r="B43" s="363"/>
      <c r="C43" s="364"/>
      <c r="D43" s="363"/>
      <c r="E43" s="364"/>
      <c r="F43" s="365"/>
      <c r="G43" s="366"/>
      <c r="H43" s="365"/>
      <c r="I43" s="366"/>
      <c r="J43" s="365"/>
      <c r="K43" s="366"/>
      <c r="L43" s="367"/>
      <c r="M43" s="368"/>
      <c r="N43" s="363"/>
      <c r="O43" s="364"/>
    </row>
    <row r="44" spans="1:15" s="40" customFormat="1" ht="19.5" customHeight="1">
      <c r="A44" s="693"/>
      <c r="B44" s="369">
        <v>12</v>
      </c>
      <c r="C44" s="370">
        <v>25</v>
      </c>
      <c r="D44" s="369"/>
      <c r="E44" s="370"/>
      <c r="F44" s="371"/>
      <c r="G44" s="372"/>
      <c r="H44" s="371">
        <v>1</v>
      </c>
      <c r="I44" s="372">
        <v>3</v>
      </c>
      <c r="J44" s="371"/>
      <c r="K44" s="372"/>
      <c r="L44" s="373"/>
      <c r="M44" s="374"/>
      <c r="N44" s="375">
        <f>L44+J44+H44+F44+D44+B44</f>
        <v>13</v>
      </c>
      <c r="O44" s="376">
        <f>M44+K44+I44+G44+E44+C44</f>
        <v>28</v>
      </c>
    </row>
    <row r="45" spans="1:15" s="40" customFormat="1" ht="19.5" customHeight="1">
      <c r="A45" s="692" t="s">
        <v>244</v>
      </c>
      <c r="B45" s="363"/>
      <c r="C45" s="364"/>
      <c r="D45" s="363"/>
      <c r="E45" s="364"/>
      <c r="F45" s="365"/>
      <c r="G45" s="366"/>
      <c r="H45" s="365"/>
      <c r="I45" s="366"/>
      <c r="J45" s="365"/>
      <c r="K45" s="366"/>
      <c r="L45" s="367"/>
      <c r="M45" s="368"/>
      <c r="N45" s="363"/>
      <c r="O45" s="364"/>
    </row>
    <row r="46" spans="1:15" s="40" customFormat="1" ht="19.5" customHeight="1">
      <c r="A46" s="693"/>
      <c r="B46" s="369">
        <v>1</v>
      </c>
      <c r="C46" s="370">
        <v>2</v>
      </c>
      <c r="D46" s="369"/>
      <c r="E46" s="370"/>
      <c r="F46" s="371"/>
      <c r="G46" s="372"/>
      <c r="H46" s="371"/>
      <c r="I46" s="372"/>
      <c r="J46" s="371"/>
      <c r="K46" s="372"/>
      <c r="L46" s="373"/>
      <c r="M46" s="374"/>
      <c r="N46" s="375">
        <f>L46+J46+H46+F46+D46+B46</f>
        <v>1</v>
      </c>
      <c r="O46" s="376">
        <f>M46+K46+I46+G46+E46+C46</f>
        <v>2</v>
      </c>
    </row>
    <row r="47" spans="1:15" s="40" customFormat="1" ht="19.5" customHeight="1">
      <c r="A47" s="692" t="s">
        <v>245</v>
      </c>
      <c r="B47" s="363"/>
      <c r="C47" s="364"/>
      <c r="D47" s="378"/>
      <c r="E47" s="379"/>
      <c r="F47" s="365"/>
      <c r="G47" s="366"/>
      <c r="H47" s="365"/>
      <c r="I47" s="366"/>
      <c r="J47" s="365"/>
      <c r="K47" s="366"/>
      <c r="L47" s="367"/>
      <c r="M47" s="368"/>
      <c r="N47" s="363"/>
      <c r="O47" s="364"/>
    </row>
    <row r="48" spans="1:15" s="40" customFormat="1" ht="19.5" customHeight="1">
      <c r="A48" s="693"/>
      <c r="B48" s="369">
        <v>15</v>
      </c>
      <c r="C48" s="370">
        <v>60</v>
      </c>
      <c r="D48" s="380"/>
      <c r="E48" s="381"/>
      <c r="F48" s="371">
        <v>1</v>
      </c>
      <c r="G48" s="372">
        <v>2</v>
      </c>
      <c r="H48" s="371"/>
      <c r="I48" s="372"/>
      <c r="J48" s="371"/>
      <c r="K48" s="372"/>
      <c r="L48" s="373">
        <v>2</v>
      </c>
      <c r="M48" s="374">
        <v>5</v>
      </c>
      <c r="N48" s="375">
        <f>L48+J48+H48+F48+D48+B48</f>
        <v>18</v>
      </c>
      <c r="O48" s="376">
        <f>M48+K48+I48+G48+E48+C48</f>
        <v>67</v>
      </c>
    </row>
    <row r="49" spans="1:15" s="40" customFormat="1" ht="19.5" customHeight="1">
      <c r="A49" s="692" t="s">
        <v>215</v>
      </c>
      <c r="B49" s="382">
        <v>354</v>
      </c>
      <c r="C49" s="383">
        <v>559</v>
      </c>
      <c r="D49" s="382">
        <v>2</v>
      </c>
      <c r="E49" s="383">
        <v>11</v>
      </c>
      <c r="F49" s="384">
        <v>6</v>
      </c>
      <c r="G49" s="385">
        <v>63</v>
      </c>
      <c r="H49" s="384">
        <v>5</v>
      </c>
      <c r="I49" s="385">
        <v>22</v>
      </c>
      <c r="J49" s="384">
        <v>2</v>
      </c>
      <c r="K49" s="385">
        <v>2</v>
      </c>
      <c r="L49" s="386">
        <v>4</v>
      </c>
      <c r="M49" s="387">
        <v>1</v>
      </c>
      <c r="N49" s="388">
        <f>B49+D49+F49+H49+J49+L49</f>
        <v>373</v>
      </c>
      <c r="O49" s="389">
        <f>M49+K49+I49+G49+E49+C49</f>
        <v>658</v>
      </c>
    </row>
    <row r="50" spans="1:15" s="40" customFormat="1" ht="19.5" customHeight="1">
      <c r="A50" s="693"/>
      <c r="B50" s="375">
        <f aca="true" t="shared" si="0" ref="B50:N50">B30+B32+B34+B36+B38+B40+B42+B44+B46+B48</f>
        <v>440</v>
      </c>
      <c r="C50" s="377">
        <f t="shared" si="0"/>
        <v>4137</v>
      </c>
      <c r="D50" s="375">
        <f t="shared" si="0"/>
        <v>0</v>
      </c>
      <c r="E50" s="377">
        <f t="shared" si="0"/>
        <v>0</v>
      </c>
      <c r="F50" s="390">
        <f t="shared" si="0"/>
        <v>3</v>
      </c>
      <c r="G50" s="391">
        <f t="shared" si="0"/>
        <v>8</v>
      </c>
      <c r="H50" s="390">
        <f t="shared" si="0"/>
        <v>2</v>
      </c>
      <c r="I50" s="391">
        <f t="shared" si="0"/>
        <v>6</v>
      </c>
      <c r="J50" s="390">
        <f t="shared" si="0"/>
        <v>4</v>
      </c>
      <c r="K50" s="391">
        <f t="shared" si="0"/>
        <v>18</v>
      </c>
      <c r="L50" s="392">
        <f t="shared" si="0"/>
        <v>2</v>
      </c>
      <c r="M50" s="393">
        <f t="shared" si="0"/>
        <v>5</v>
      </c>
      <c r="N50" s="375">
        <f t="shared" si="0"/>
        <v>451</v>
      </c>
      <c r="O50" s="377">
        <f>M50+K50+I50+G50+E50+C50</f>
        <v>4174</v>
      </c>
    </row>
    <row r="51" spans="1:15" s="40" customFormat="1" ht="19.5" customHeight="1">
      <c r="A51" s="692" t="s">
        <v>246</v>
      </c>
      <c r="B51" s="363"/>
      <c r="C51" s="364"/>
      <c r="D51" s="363"/>
      <c r="E51" s="364"/>
      <c r="F51" s="365"/>
      <c r="G51" s="366"/>
      <c r="H51" s="365"/>
      <c r="I51" s="366"/>
      <c r="J51" s="365"/>
      <c r="K51" s="366"/>
      <c r="L51" s="367"/>
      <c r="M51" s="368"/>
      <c r="N51" s="363"/>
      <c r="O51" s="364"/>
    </row>
    <row r="52" spans="1:15" s="40" customFormat="1" ht="19.5" customHeight="1">
      <c r="A52" s="693"/>
      <c r="B52" s="369">
        <v>413</v>
      </c>
      <c r="C52" s="394">
        <v>1649</v>
      </c>
      <c r="D52" s="369">
        <v>4</v>
      </c>
      <c r="E52" s="370">
        <v>15</v>
      </c>
      <c r="F52" s="371">
        <v>1</v>
      </c>
      <c r="G52" s="372">
        <v>6</v>
      </c>
      <c r="H52" s="371">
        <v>3</v>
      </c>
      <c r="I52" s="372">
        <v>28</v>
      </c>
      <c r="J52" s="371">
        <v>1</v>
      </c>
      <c r="K52" s="372">
        <v>4</v>
      </c>
      <c r="L52" s="373">
        <v>1</v>
      </c>
      <c r="M52" s="374">
        <v>14</v>
      </c>
      <c r="N52" s="375">
        <f>L52+J52+H52+F52+D52+B52</f>
        <v>423</v>
      </c>
      <c r="O52" s="377">
        <f>M52+K52+I52+G52+E52+C52</f>
        <v>1716</v>
      </c>
    </row>
    <row r="53" spans="1:15" s="40" customFormat="1" ht="19.5" customHeight="1">
      <c r="A53" s="692" t="s">
        <v>224</v>
      </c>
      <c r="B53" s="363"/>
      <c r="C53" s="395"/>
      <c r="D53" s="363"/>
      <c r="E53" s="395"/>
      <c r="F53" s="365"/>
      <c r="G53" s="396" t="s">
        <v>247</v>
      </c>
      <c r="H53" s="365"/>
      <c r="I53" s="396" t="s">
        <v>247</v>
      </c>
      <c r="J53" s="365"/>
      <c r="K53" s="396" t="s">
        <v>247</v>
      </c>
      <c r="L53" s="367"/>
      <c r="M53" s="397" t="s">
        <v>247</v>
      </c>
      <c r="N53" s="363"/>
      <c r="O53" s="395"/>
    </row>
    <row r="54" spans="1:15" s="40" customFormat="1" ht="19.5" customHeight="1">
      <c r="A54" s="693"/>
      <c r="B54" s="375">
        <f>B52+B50</f>
        <v>853</v>
      </c>
      <c r="C54" s="377">
        <f>C52+C50+C49</f>
        <v>6345</v>
      </c>
      <c r="D54" s="375">
        <f>D52+D50</f>
        <v>4</v>
      </c>
      <c r="E54" s="377">
        <f>E52+E50+E49</f>
        <v>26</v>
      </c>
      <c r="F54" s="390">
        <f>F52+F50</f>
        <v>4</v>
      </c>
      <c r="G54" s="391">
        <f>G52+G50+G49</f>
        <v>77</v>
      </c>
      <c r="H54" s="390">
        <f>H52+H50</f>
        <v>5</v>
      </c>
      <c r="I54" s="391">
        <f>I52+I50+I49</f>
        <v>56</v>
      </c>
      <c r="J54" s="390">
        <f>J52+J50</f>
        <v>5</v>
      </c>
      <c r="K54" s="391">
        <f>K52+K50+K49</f>
        <v>24</v>
      </c>
      <c r="L54" s="392">
        <f>L52+L50</f>
        <v>3</v>
      </c>
      <c r="M54" s="393">
        <f>M52+M50+M49</f>
        <v>20</v>
      </c>
      <c r="N54" s="375">
        <f>N52+N50</f>
        <v>874</v>
      </c>
      <c r="O54" s="377">
        <f>O52+O50+O49</f>
        <v>6548</v>
      </c>
    </row>
    <row r="55" spans="1:15" s="44" customFormat="1" ht="12" customHeight="1">
      <c r="A55" s="27"/>
      <c r="B55" s="353"/>
      <c r="C55" s="352"/>
      <c r="D55" s="353"/>
      <c r="E55" s="352"/>
      <c r="F55" s="353"/>
      <c r="G55" s="352"/>
      <c r="H55" s="353"/>
      <c r="I55" s="352"/>
      <c r="J55" s="353"/>
      <c r="K55" s="352"/>
      <c r="L55" s="353"/>
      <c r="M55" s="352"/>
      <c r="N55" s="353"/>
      <c r="O55" s="352"/>
    </row>
    <row r="56" spans="1:15" s="44" customFormat="1" ht="12" customHeight="1">
      <c r="A56" s="351" t="s">
        <v>216</v>
      </c>
      <c r="B56" s="29"/>
      <c r="C56" s="352"/>
      <c r="D56" s="353"/>
      <c r="E56" s="29"/>
      <c r="F56" s="29"/>
      <c r="G56" s="29"/>
      <c r="H56" s="29"/>
      <c r="I56" s="353"/>
      <c r="J56" s="29"/>
      <c r="K56" s="29"/>
      <c r="L56" s="29"/>
      <c r="M56" s="29"/>
      <c r="N56" s="29"/>
      <c r="O56" s="352"/>
    </row>
    <row r="57" spans="1:15" s="44" customFormat="1" ht="12" customHeight="1">
      <c r="A57" s="351" t="s">
        <v>248</v>
      </c>
      <c r="B57" s="29"/>
      <c r="C57" s="29"/>
      <c r="D57" s="29"/>
      <c r="E57" s="29"/>
      <c r="F57" s="29"/>
      <c r="G57" s="29"/>
      <c r="H57" s="29"/>
      <c r="I57" s="29"/>
      <c r="J57" s="29"/>
      <c r="K57" s="29"/>
      <c r="L57" s="29"/>
      <c r="M57" s="29"/>
      <c r="N57" s="29"/>
      <c r="O57" s="29"/>
    </row>
    <row r="58" spans="1:15" s="44" customFormat="1" ht="12" customHeight="1">
      <c r="A58" s="351" t="s">
        <v>249</v>
      </c>
      <c r="B58" s="29"/>
      <c r="C58" s="29"/>
      <c r="D58" s="29"/>
      <c r="E58" s="29"/>
      <c r="F58" s="29"/>
      <c r="G58" s="29"/>
      <c r="H58" s="29"/>
      <c r="I58" s="29"/>
      <c r="J58" s="29"/>
      <c r="K58" s="29"/>
      <c r="L58" s="29"/>
      <c r="M58" s="29"/>
      <c r="N58" s="29"/>
      <c r="O58" s="29"/>
    </row>
    <row r="59" spans="1:10" ht="13.5">
      <c r="A59" s="398"/>
      <c r="J59" s="399"/>
    </row>
    <row r="60" spans="1:15" ht="13.5">
      <c r="A60" s="398"/>
      <c r="B60" s="400"/>
      <c r="C60" s="400"/>
      <c r="D60" s="400"/>
      <c r="E60" s="400"/>
      <c r="F60" s="400"/>
      <c r="G60" s="400"/>
      <c r="H60" s="400"/>
      <c r="I60" s="400"/>
      <c r="J60" s="400"/>
      <c r="K60" s="400"/>
      <c r="L60" s="400"/>
      <c r="M60" s="400"/>
      <c r="N60" s="400"/>
      <c r="O60" s="400"/>
    </row>
    <row r="61" spans="1:15" ht="13.5">
      <c r="A61" s="398"/>
      <c r="B61" s="400"/>
      <c r="C61" s="400"/>
      <c r="D61" s="400"/>
      <c r="E61" s="400"/>
      <c r="F61" s="400"/>
      <c r="G61" s="400"/>
      <c r="H61" s="400"/>
      <c r="I61" s="400"/>
      <c r="J61" s="400"/>
      <c r="K61" s="400"/>
      <c r="L61" s="400"/>
      <c r="M61" s="400"/>
      <c r="N61" s="400"/>
      <c r="O61" s="400"/>
    </row>
    <row r="62" spans="1:15" ht="13.5">
      <c r="A62" s="398"/>
      <c r="B62" s="400"/>
      <c r="C62" s="400"/>
      <c r="D62" s="400"/>
      <c r="E62" s="400"/>
      <c r="F62" s="400"/>
      <c r="G62" s="400"/>
      <c r="H62" s="400"/>
      <c r="I62" s="400"/>
      <c r="J62" s="400"/>
      <c r="K62" s="400"/>
      <c r="L62" s="400"/>
      <c r="M62" s="400"/>
      <c r="N62" s="400"/>
      <c r="O62" s="400"/>
    </row>
    <row r="63" spans="1:15" ht="13.5">
      <c r="A63" s="398"/>
      <c r="B63" s="400"/>
      <c r="C63" s="400"/>
      <c r="D63" s="400"/>
      <c r="E63" s="400"/>
      <c r="F63" s="400"/>
      <c r="G63" s="400"/>
      <c r="H63" s="400"/>
      <c r="I63" s="400"/>
      <c r="J63" s="400"/>
      <c r="K63" s="400"/>
      <c r="L63" s="400"/>
      <c r="M63" s="400"/>
      <c r="N63" s="400"/>
      <c r="O63" s="400"/>
    </row>
    <row r="64" spans="1:15" ht="13.5">
      <c r="A64" s="398"/>
      <c r="B64" s="400"/>
      <c r="C64" s="400"/>
      <c r="D64" s="400"/>
      <c r="E64" s="400"/>
      <c r="F64" s="400"/>
      <c r="G64" s="400"/>
      <c r="H64" s="400"/>
      <c r="I64" s="400"/>
      <c r="J64" s="400"/>
      <c r="K64" s="400"/>
      <c r="L64" s="400"/>
      <c r="M64" s="400"/>
      <c r="N64" s="400"/>
      <c r="O64" s="400"/>
    </row>
    <row r="65" spans="1:15" ht="13.5">
      <c r="A65" s="398"/>
      <c r="B65" s="400"/>
      <c r="C65" s="400"/>
      <c r="D65" s="400"/>
      <c r="E65" s="400"/>
      <c r="F65" s="400"/>
      <c r="G65" s="400"/>
      <c r="H65" s="400"/>
      <c r="I65" s="400"/>
      <c r="J65" s="400"/>
      <c r="K65" s="400"/>
      <c r="L65" s="400"/>
      <c r="M65" s="400"/>
      <c r="N65" s="400"/>
      <c r="O65" s="400"/>
    </row>
    <row r="66" spans="1:15" ht="13.5">
      <c r="A66" s="398"/>
      <c r="B66" s="400"/>
      <c r="C66" s="400"/>
      <c r="D66" s="400"/>
      <c r="E66" s="400"/>
      <c r="F66" s="400"/>
      <c r="G66" s="400"/>
      <c r="H66" s="400"/>
      <c r="I66" s="400"/>
      <c r="J66" s="400"/>
      <c r="K66" s="400"/>
      <c r="L66" s="400"/>
      <c r="M66" s="400"/>
      <c r="N66" s="400"/>
      <c r="O66" s="400"/>
    </row>
    <row r="67" spans="1:15" ht="13.5">
      <c r="A67" s="398"/>
      <c r="B67" s="400"/>
      <c r="C67" s="400"/>
      <c r="D67" s="400"/>
      <c r="E67" s="400"/>
      <c r="F67" s="400"/>
      <c r="G67" s="400"/>
      <c r="H67" s="400"/>
      <c r="I67" s="400"/>
      <c r="J67" s="400"/>
      <c r="K67" s="400"/>
      <c r="L67" s="400"/>
      <c r="M67" s="400"/>
      <c r="N67" s="400"/>
      <c r="O67" s="400"/>
    </row>
    <row r="68" spans="1:15" ht="13.5">
      <c r="A68" s="398"/>
      <c r="B68" s="400"/>
      <c r="C68" s="400"/>
      <c r="D68" s="400"/>
      <c r="E68" s="400"/>
      <c r="F68" s="400"/>
      <c r="G68" s="400"/>
      <c r="H68" s="400"/>
      <c r="I68" s="400"/>
      <c r="J68" s="400"/>
      <c r="K68" s="400"/>
      <c r="L68" s="400"/>
      <c r="M68" s="400"/>
      <c r="N68" s="400"/>
      <c r="O68" s="400"/>
    </row>
    <row r="69" spans="1:15" ht="13.5">
      <c r="A69" s="398"/>
      <c r="B69" s="400"/>
      <c r="C69" s="400"/>
      <c r="D69" s="400"/>
      <c r="E69" s="400"/>
      <c r="F69" s="400"/>
      <c r="G69" s="400"/>
      <c r="H69" s="400"/>
      <c r="I69" s="400"/>
      <c r="J69" s="400"/>
      <c r="K69" s="400"/>
      <c r="L69" s="400"/>
      <c r="M69" s="400"/>
      <c r="N69" s="400"/>
      <c r="O69" s="400"/>
    </row>
    <row r="70" spans="1:15" ht="13.5">
      <c r="A70" s="398"/>
      <c r="B70" s="400"/>
      <c r="C70" s="400"/>
      <c r="D70" s="400"/>
      <c r="E70" s="400"/>
      <c r="F70" s="400"/>
      <c r="G70" s="400"/>
      <c r="H70" s="400"/>
      <c r="I70" s="400"/>
      <c r="J70" s="400"/>
      <c r="K70" s="400"/>
      <c r="L70" s="400"/>
      <c r="M70" s="400"/>
      <c r="N70" s="400"/>
      <c r="O70" s="400"/>
    </row>
    <row r="71" spans="1:15" ht="13.5">
      <c r="A71" s="398"/>
      <c r="B71" s="400"/>
      <c r="C71" s="400"/>
      <c r="D71" s="400"/>
      <c r="E71" s="400"/>
      <c r="F71" s="400"/>
      <c r="G71" s="400"/>
      <c r="H71" s="400"/>
      <c r="I71" s="400"/>
      <c r="J71" s="400"/>
      <c r="K71" s="400"/>
      <c r="L71" s="400"/>
      <c r="M71" s="400"/>
      <c r="N71" s="400"/>
      <c r="O71" s="400"/>
    </row>
    <row r="72" spans="1:15" ht="13.5">
      <c r="A72" s="398"/>
      <c r="B72" s="400"/>
      <c r="C72" s="400"/>
      <c r="D72" s="400"/>
      <c r="E72" s="400"/>
      <c r="F72" s="400"/>
      <c r="G72" s="400"/>
      <c r="H72" s="400"/>
      <c r="I72" s="400"/>
      <c r="J72" s="400"/>
      <c r="K72" s="400"/>
      <c r="L72" s="400"/>
      <c r="M72" s="400"/>
      <c r="N72" s="400"/>
      <c r="O72" s="400"/>
    </row>
    <row r="73" spans="1:15" ht="13.5">
      <c r="A73" s="398"/>
      <c r="B73" s="400"/>
      <c r="C73" s="400"/>
      <c r="D73" s="400"/>
      <c r="E73" s="400"/>
      <c r="F73" s="400"/>
      <c r="G73" s="400"/>
      <c r="H73" s="400"/>
      <c r="I73" s="400"/>
      <c r="J73" s="400"/>
      <c r="K73" s="400"/>
      <c r="L73" s="400"/>
      <c r="M73" s="400"/>
      <c r="N73" s="400"/>
      <c r="O73" s="400"/>
    </row>
    <row r="74" spans="1:15" ht="13.5">
      <c r="A74" s="398"/>
      <c r="B74" s="400"/>
      <c r="C74" s="400"/>
      <c r="D74" s="400"/>
      <c r="E74" s="400"/>
      <c r="F74" s="400"/>
      <c r="G74" s="400"/>
      <c r="H74" s="400"/>
      <c r="I74" s="400"/>
      <c r="J74" s="400"/>
      <c r="K74" s="400"/>
      <c r="L74" s="400"/>
      <c r="M74" s="400"/>
      <c r="N74" s="400"/>
      <c r="O74" s="400"/>
    </row>
    <row r="75" spans="1:15" ht="13.5">
      <c r="A75" s="398"/>
      <c r="B75" s="400"/>
      <c r="C75" s="400"/>
      <c r="D75" s="400"/>
      <c r="E75" s="400"/>
      <c r="F75" s="400"/>
      <c r="G75" s="400"/>
      <c r="H75" s="400"/>
      <c r="I75" s="400"/>
      <c r="J75" s="400"/>
      <c r="K75" s="400"/>
      <c r="L75" s="400"/>
      <c r="M75" s="400"/>
      <c r="N75" s="400"/>
      <c r="O75" s="400"/>
    </row>
    <row r="76" spans="1:15" ht="13.5">
      <c r="A76" s="398"/>
      <c r="B76" s="400"/>
      <c r="C76" s="400"/>
      <c r="D76" s="400"/>
      <c r="E76" s="400"/>
      <c r="F76" s="400"/>
      <c r="G76" s="400"/>
      <c r="H76" s="400"/>
      <c r="I76" s="400"/>
      <c r="J76" s="400"/>
      <c r="K76" s="400"/>
      <c r="L76" s="400"/>
      <c r="M76" s="400"/>
      <c r="N76" s="400"/>
      <c r="O76" s="400"/>
    </row>
    <row r="77" spans="1:15" ht="13.5">
      <c r="A77" s="398"/>
      <c r="B77" s="400"/>
      <c r="C77" s="400"/>
      <c r="D77" s="400"/>
      <c r="E77" s="400"/>
      <c r="F77" s="400"/>
      <c r="G77" s="400"/>
      <c r="H77" s="400"/>
      <c r="I77" s="400"/>
      <c r="J77" s="400"/>
      <c r="K77" s="400"/>
      <c r="L77" s="400"/>
      <c r="M77" s="400"/>
      <c r="N77" s="400"/>
      <c r="O77" s="400"/>
    </row>
    <row r="78" spans="1:15" ht="13.5">
      <c r="A78" s="398"/>
      <c r="B78" s="400"/>
      <c r="C78" s="400"/>
      <c r="D78" s="400"/>
      <c r="E78" s="400"/>
      <c r="F78" s="400"/>
      <c r="G78" s="400"/>
      <c r="H78" s="400"/>
      <c r="I78" s="400"/>
      <c r="J78" s="400"/>
      <c r="K78" s="400"/>
      <c r="L78" s="400"/>
      <c r="M78" s="400"/>
      <c r="N78" s="400"/>
      <c r="O78" s="400"/>
    </row>
    <row r="79" spans="1:15" ht="13.5">
      <c r="A79" s="398"/>
      <c r="B79" s="400"/>
      <c r="C79" s="400"/>
      <c r="D79" s="400"/>
      <c r="E79" s="400"/>
      <c r="F79" s="400"/>
      <c r="G79" s="400"/>
      <c r="H79" s="400"/>
      <c r="I79" s="400"/>
      <c r="J79" s="400"/>
      <c r="K79" s="400"/>
      <c r="L79" s="400"/>
      <c r="M79" s="400"/>
      <c r="N79" s="400"/>
      <c r="O79" s="400"/>
    </row>
    <row r="80" spans="1:15" ht="13.5">
      <c r="A80" s="398"/>
      <c r="B80" s="400"/>
      <c r="C80" s="400"/>
      <c r="D80" s="400"/>
      <c r="E80" s="400"/>
      <c r="F80" s="400"/>
      <c r="G80" s="400"/>
      <c r="H80" s="400"/>
      <c r="I80" s="400"/>
      <c r="J80" s="400"/>
      <c r="K80" s="400"/>
      <c r="L80" s="400"/>
      <c r="M80" s="400"/>
      <c r="N80" s="400"/>
      <c r="O80" s="400"/>
    </row>
    <row r="81" spans="1:15" ht="13.5">
      <c r="A81" s="398"/>
      <c r="B81" s="400"/>
      <c r="C81" s="400"/>
      <c r="D81" s="400"/>
      <c r="E81" s="400"/>
      <c r="F81" s="400"/>
      <c r="G81" s="400"/>
      <c r="H81" s="400"/>
      <c r="I81" s="400"/>
      <c r="J81" s="400"/>
      <c r="K81" s="400"/>
      <c r="L81" s="400"/>
      <c r="M81" s="400"/>
      <c r="N81" s="400"/>
      <c r="O81" s="400"/>
    </row>
    <row r="82" spans="1:15" ht="13.5">
      <c r="A82" s="398"/>
      <c r="B82" s="400"/>
      <c r="C82" s="400"/>
      <c r="D82" s="400"/>
      <c r="E82" s="400"/>
      <c r="F82" s="400"/>
      <c r="G82" s="400"/>
      <c r="H82" s="400"/>
      <c r="I82" s="400"/>
      <c r="J82" s="400"/>
      <c r="K82" s="400"/>
      <c r="L82" s="400"/>
      <c r="M82" s="400"/>
      <c r="N82" s="400"/>
      <c r="O82" s="400"/>
    </row>
    <row r="83" spans="1:15" ht="13.5">
      <c r="A83" s="398"/>
      <c r="B83" s="400"/>
      <c r="C83" s="400"/>
      <c r="D83" s="400"/>
      <c r="E83" s="400"/>
      <c r="F83" s="400"/>
      <c r="G83" s="400"/>
      <c r="H83" s="400"/>
      <c r="I83" s="400"/>
      <c r="J83" s="400"/>
      <c r="K83" s="400"/>
      <c r="L83" s="400"/>
      <c r="M83" s="400"/>
      <c r="N83" s="400"/>
      <c r="O83" s="400"/>
    </row>
    <row r="84" spans="1:15" ht="13.5">
      <c r="A84" s="398"/>
      <c r="B84" s="400"/>
      <c r="C84" s="400"/>
      <c r="D84" s="400"/>
      <c r="E84" s="400"/>
      <c r="F84" s="400"/>
      <c r="G84" s="400"/>
      <c r="H84" s="400"/>
      <c r="I84" s="400"/>
      <c r="J84" s="400"/>
      <c r="K84" s="400"/>
      <c r="L84" s="400"/>
      <c r="M84" s="400"/>
      <c r="N84" s="400"/>
      <c r="O84" s="400"/>
    </row>
    <row r="85" spans="1:15" ht="13.5">
      <c r="A85" s="398"/>
      <c r="B85" s="400"/>
      <c r="C85" s="400"/>
      <c r="D85" s="400"/>
      <c r="E85" s="400"/>
      <c r="F85" s="400"/>
      <c r="G85" s="400"/>
      <c r="H85" s="400"/>
      <c r="I85" s="400"/>
      <c r="J85" s="400"/>
      <c r="K85" s="400"/>
      <c r="L85" s="400"/>
      <c r="M85" s="400"/>
      <c r="N85" s="400"/>
      <c r="O85" s="400"/>
    </row>
    <row r="86" spans="1:15" ht="13.5">
      <c r="A86" s="398"/>
      <c r="B86" s="400"/>
      <c r="C86" s="400"/>
      <c r="D86" s="400"/>
      <c r="E86" s="400"/>
      <c r="F86" s="400"/>
      <c r="G86" s="400"/>
      <c r="H86" s="400"/>
      <c r="I86" s="400"/>
      <c r="J86" s="400"/>
      <c r="K86" s="400"/>
      <c r="L86" s="400"/>
      <c r="M86" s="400"/>
      <c r="N86" s="400"/>
      <c r="O86" s="400"/>
    </row>
  </sheetData>
  <sheetProtection/>
  <mergeCells count="65">
    <mergeCell ref="A49:A50"/>
    <mergeCell ref="A51:A52"/>
    <mergeCell ref="A53:A54"/>
    <mergeCell ref="A37:A38"/>
    <mergeCell ref="A39:A40"/>
    <mergeCell ref="A41:A42"/>
    <mergeCell ref="A43:A44"/>
    <mergeCell ref="A45:A46"/>
    <mergeCell ref="A47:A48"/>
    <mergeCell ref="A33:A34"/>
    <mergeCell ref="A35:A36"/>
    <mergeCell ref="A16:B16"/>
    <mergeCell ref="E16:F16"/>
    <mergeCell ref="A29:A30"/>
    <mergeCell ref="A31:A32"/>
    <mergeCell ref="I16:J16"/>
    <mergeCell ref="M16:N16"/>
    <mergeCell ref="A27:A28"/>
    <mergeCell ref="B27:C27"/>
    <mergeCell ref="D27:E27"/>
    <mergeCell ref="F27:G27"/>
    <mergeCell ref="H27:I27"/>
    <mergeCell ref="J27:K27"/>
    <mergeCell ref="L27:M27"/>
    <mergeCell ref="N27:O27"/>
    <mergeCell ref="A14:B14"/>
    <mergeCell ref="E14:F14"/>
    <mergeCell ref="I14:J14"/>
    <mergeCell ref="M14:N14"/>
    <mergeCell ref="A15:B15"/>
    <mergeCell ref="E15:F15"/>
    <mergeCell ref="I15:J15"/>
    <mergeCell ref="M15:N15"/>
    <mergeCell ref="A12:B12"/>
    <mergeCell ref="E12:F12"/>
    <mergeCell ref="I12:J12"/>
    <mergeCell ref="M12:N12"/>
    <mergeCell ref="A13:B13"/>
    <mergeCell ref="E13:F13"/>
    <mergeCell ref="I13:J13"/>
    <mergeCell ref="M13:N13"/>
    <mergeCell ref="A10:B10"/>
    <mergeCell ref="E10:F10"/>
    <mergeCell ref="I10:J10"/>
    <mergeCell ref="M10:N10"/>
    <mergeCell ref="A11:B11"/>
    <mergeCell ref="E11:F11"/>
    <mergeCell ref="I11:J11"/>
    <mergeCell ref="M11:N11"/>
    <mergeCell ref="A8:B8"/>
    <mergeCell ref="E8:F8"/>
    <mergeCell ref="I8:J8"/>
    <mergeCell ref="M8:N8"/>
    <mergeCell ref="A9:B9"/>
    <mergeCell ref="E9:F9"/>
    <mergeCell ref="I9:J9"/>
    <mergeCell ref="M9:N9"/>
    <mergeCell ref="A6:B7"/>
    <mergeCell ref="C6:F6"/>
    <mergeCell ref="G6:J6"/>
    <mergeCell ref="K6:N6"/>
    <mergeCell ref="O6:O7"/>
    <mergeCell ref="E7:F7"/>
    <mergeCell ref="I7:J7"/>
    <mergeCell ref="M7:N7"/>
  </mergeCells>
  <printOptions horizontalCentered="1"/>
  <pageMargins left="0.5905511811023623" right="0.3937007874015748" top="0.5905511811023623" bottom="0.5905511811023623" header="0" footer="0"/>
  <pageSetup horizontalDpi="400" verticalDpi="400" orientation="portrait" paperSize="9"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群馬県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群馬県庁</dc:creator>
  <cp:keywords/>
  <dc:description/>
  <cp:lastModifiedBy>izm-k</cp:lastModifiedBy>
  <cp:lastPrinted>2010-12-21T00:22:06Z</cp:lastPrinted>
  <dcterms:created xsi:type="dcterms:W3CDTF">2006-10-02T04:28:06Z</dcterms:created>
  <dcterms:modified xsi:type="dcterms:W3CDTF">2010-12-21T00:23:04Z</dcterms:modified>
  <cp:category/>
  <cp:version/>
  <cp:contentType/>
  <cp:contentStatus/>
</cp:coreProperties>
</file>