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1365" windowWidth="19260" windowHeight="5775" tabRatio="678" firstSheet="1" activeTab="5"/>
  </bookViews>
  <sheets>
    <sheet name="1-1(1)土地利用・1-1(2)保有形態別面積" sheetId="1" r:id="rId1"/>
    <sheet name="1-1(3)樹種別・1-1(4)林種別" sheetId="2" r:id="rId2"/>
    <sheet name="1-2土地利用" sheetId="3" r:id="rId3"/>
    <sheet name="1-3(1)保有面積" sheetId="4" r:id="rId4"/>
    <sheet name="1-3(2)保有蓄積" sheetId="5" r:id="rId5"/>
    <sheet name="1-3(3)林種面積" sheetId="6" r:id="rId6"/>
    <sheet name="1-3(4)林種蓄積" sheetId="7" r:id="rId7"/>
    <sheet name="1-3(5)民種別齢別資源" sheetId="8" r:id="rId8"/>
    <sheet name="1-3(6)民有人工林齢級別面積" sheetId="9" r:id="rId9"/>
    <sheet name="1-3(7)民有人工林齢級別蓄積" sheetId="10" r:id="rId10"/>
    <sheet name="1-4(1)分収造林･1-4(2)共用林野 (2)" sheetId="11" r:id="rId11"/>
    <sheet name="1-4(3)官行造林" sheetId="12" r:id="rId12"/>
    <sheet name="Sheet1" sheetId="13" r:id="rId13"/>
  </sheets>
  <definedNames>
    <definedName name="_xlnm.Print_Area" localSheetId="0">'1-1(1)土地利用・1-1(2)保有形態別面積'!$A$1:$K$63</definedName>
    <definedName name="_xlnm.Print_Area" localSheetId="1">'1-1(3)樹種別・1-1(4)林種別'!$A$1:$H$44</definedName>
    <definedName name="_xlnm.Print_Area" localSheetId="2">'1-2土地利用'!$A$1:$J$55</definedName>
    <definedName name="_xlnm.Print_Area" localSheetId="3">'1-3(1)保有面積'!$A$1:$S$56</definedName>
    <definedName name="_xlnm.Print_Area" localSheetId="4">'1-3(2)保有蓄積'!$A$1:$S$54</definedName>
    <definedName name="_xlnm.Print_Area" localSheetId="5">'1-3(3)林種面積'!$A$1:$AQ$54</definedName>
    <definedName name="_xlnm.Print_Area" localSheetId="6">'1-3(4)林種蓄積'!$A$1:$AQ$54</definedName>
    <definedName name="_xlnm.Print_Area" localSheetId="7">'1-3(5)民種別齢別資源'!$A$1:$U$60</definedName>
    <definedName name="_xlnm.Print_Area" localSheetId="9">'1-3(7)民有人工林齢級別蓄積'!$A$1:$S$53</definedName>
    <definedName name="_xlnm.Print_Area" localSheetId="10">'1-4(1)分収造林･1-4(2)共用林野 (2)'!$A$1:$T$39</definedName>
    <definedName name="_xlnm.Print_Titles" localSheetId="2">'1-2土地利用'!$4:$6</definedName>
    <definedName name="_xlnm.Print_Titles" localSheetId="3">'1-3(1)保有面積'!$4:$7</definedName>
    <definedName name="_xlnm.Print_Titles" localSheetId="4">'1-3(2)保有蓄積'!$2:$5</definedName>
    <definedName name="_xlnm.Print_Titles" localSheetId="5">'1-3(3)林種面積'!$2:$5</definedName>
    <definedName name="_xlnm.Print_Titles" localSheetId="6">'1-3(4)林種蓄積'!$2:$5</definedName>
    <definedName name="_xlnm.Print_Titles" localSheetId="8">'1-3(6)民有人工林齢級別面積'!$2:$3</definedName>
  </definedNames>
  <calcPr fullCalcOnLoad="1"/>
</workbook>
</file>

<file path=xl/sharedStrings.xml><?xml version="1.0" encoding="utf-8"?>
<sst xmlns="http://schemas.openxmlformats.org/spreadsheetml/2006/main" count="1238" uniqueCount="403">
  <si>
    <t>利用別</t>
  </si>
  <si>
    <t>面積</t>
  </si>
  <si>
    <t>構成比</t>
  </si>
  <si>
    <t>民有</t>
  </si>
  <si>
    <t>国有</t>
  </si>
  <si>
    <t>田</t>
  </si>
  <si>
    <t>畑</t>
  </si>
  <si>
    <t>その他</t>
  </si>
  <si>
    <t>総面積</t>
  </si>
  <si>
    <t>保有形態別</t>
  </si>
  <si>
    <t>私有</t>
  </si>
  <si>
    <t>市町村有</t>
  </si>
  <si>
    <t>県有</t>
  </si>
  <si>
    <t>林業公社</t>
  </si>
  <si>
    <t>林野庁所管</t>
  </si>
  <si>
    <t>第１表　森林資源の概要</t>
  </si>
  <si>
    <t>（１）土地利用</t>
  </si>
  <si>
    <t>（単位：ha）</t>
  </si>
  <si>
    <t>年度</t>
  </si>
  <si>
    <t>総面積</t>
  </si>
  <si>
    <t>耕　　　　　　地</t>
  </si>
  <si>
    <t>林　　　　　　野</t>
  </si>
  <si>
    <t>その他</t>
  </si>
  <si>
    <t>総　数</t>
  </si>
  <si>
    <t>田</t>
  </si>
  <si>
    <t>畑</t>
  </si>
  <si>
    <t>民　有</t>
  </si>
  <si>
    <t>国　有</t>
  </si>
  <si>
    <t>平成１２年度</t>
  </si>
  <si>
    <t>土地利用円グラフ</t>
  </si>
  <si>
    <t>林野</t>
  </si>
  <si>
    <t>耕地</t>
  </si>
  <si>
    <t>林野面積円グラフ</t>
  </si>
  <si>
    <t>民有林</t>
  </si>
  <si>
    <t>国有林</t>
  </si>
  <si>
    <t>（２）保有形態別面積</t>
  </si>
  <si>
    <t>年　度</t>
  </si>
  <si>
    <t>国　　有　　林</t>
  </si>
  <si>
    <t>民　　　　有　　　　林</t>
  </si>
  <si>
    <t>総　　数</t>
  </si>
  <si>
    <t>林野庁所管</t>
  </si>
  <si>
    <t>私　　有</t>
  </si>
  <si>
    <t>県　　有</t>
  </si>
  <si>
    <t>市町村有</t>
  </si>
  <si>
    <t>林業公社</t>
  </si>
  <si>
    <t>（注）　 １．国有林の「その他」は林野庁所管以外のもの</t>
  </si>
  <si>
    <t>　　 　　２．国有林には官行造林地を含む</t>
  </si>
  <si>
    <t>　　 　　３．民有林は地域森林計画対象区域である</t>
  </si>
  <si>
    <t>（３）樹種別面積・蓄積</t>
  </si>
  <si>
    <t>樹  種</t>
  </si>
  <si>
    <t>面　積</t>
  </si>
  <si>
    <t>蓄　積</t>
  </si>
  <si>
    <t>す　ぎ</t>
  </si>
  <si>
    <t>ひのき</t>
  </si>
  <si>
    <t>ま　つ</t>
  </si>
  <si>
    <t>からまつ</t>
  </si>
  <si>
    <t>未立木地</t>
  </si>
  <si>
    <t>（４）林種別面積・蓄積</t>
  </si>
  <si>
    <t>竹   　林</t>
  </si>
  <si>
    <t>伐 跡 地</t>
  </si>
  <si>
    <t>市町村別</t>
  </si>
  <si>
    <t>林 野 率</t>
  </si>
  <si>
    <t>国 有 林</t>
  </si>
  <si>
    <t>民 有 林</t>
  </si>
  <si>
    <r>
      <t>（単位 : ha・m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</si>
  <si>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t>総    　計</t>
  </si>
  <si>
    <t>針葉樹計</t>
  </si>
  <si>
    <t>その他</t>
  </si>
  <si>
    <t>〔資料〕国有林は森林管理局、民有林は林政課</t>
  </si>
  <si>
    <r>
      <t>（単位：ha・m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</si>
  <si>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林　　種</t>
  </si>
  <si>
    <t>総　　　　数</t>
  </si>
  <si>
    <t>国　有　林</t>
  </si>
  <si>
    <t>民　有　林</t>
  </si>
  <si>
    <t>面　　積</t>
  </si>
  <si>
    <t>蓄　　積</t>
  </si>
  <si>
    <t>面　　積　</t>
  </si>
  <si>
    <t>総      数</t>
  </si>
  <si>
    <t>　　　人　工　林</t>
  </si>
  <si>
    <t>　　　天　然　林</t>
  </si>
  <si>
    <t>　　　無立木地</t>
  </si>
  <si>
    <t>　　　そ　の　他</t>
  </si>
  <si>
    <t>〔資料〕国有林は森林管理局、民有林は林政課</t>
  </si>
  <si>
    <t>　　　　１．国有林のその他は林野庁所管以外のもの</t>
  </si>
  <si>
    <t>　　　　２．民有林の無立木地には竹林を含む</t>
  </si>
  <si>
    <t>吾妻森林計画区</t>
  </si>
  <si>
    <t>　　　　　　明和町</t>
  </si>
  <si>
    <t>西毛森林計画区</t>
  </si>
  <si>
    <t>　　　　　　神流町</t>
  </si>
  <si>
    <t>国　　　　　　　　有　　　　　　　　林　</t>
  </si>
  <si>
    <t>民　　　　　　　　有　　　　　　　　林　</t>
  </si>
  <si>
    <t xml:space="preserve"> </t>
  </si>
  <si>
    <t>総　数</t>
  </si>
  <si>
    <t>林 　　 野　　  庁</t>
  </si>
  <si>
    <t>その他省庁</t>
  </si>
  <si>
    <t>公　　　　　有　　　　　林</t>
  </si>
  <si>
    <t>官行造林</t>
  </si>
  <si>
    <t>県</t>
  </si>
  <si>
    <t>市町村</t>
  </si>
  <si>
    <t>財産区</t>
  </si>
  <si>
    <t>会　　社</t>
  </si>
  <si>
    <t>私　　有</t>
  </si>
  <si>
    <t>沼田市</t>
  </si>
  <si>
    <t>片品村</t>
  </si>
  <si>
    <t>川場村</t>
  </si>
  <si>
    <t>昭和村</t>
  </si>
  <si>
    <t>中之条町</t>
  </si>
  <si>
    <t>長野原町</t>
  </si>
  <si>
    <t>嬬恋村</t>
  </si>
  <si>
    <t>草津町</t>
  </si>
  <si>
    <t>高山村</t>
  </si>
  <si>
    <t>前橋市</t>
  </si>
  <si>
    <t>渋川市</t>
  </si>
  <si>
    <t>榛東村</t>
  </si>
  <si>
    <t>吉岡町</t>
  </si>
  <si>
    <t>桐生市</t>
  </si>
  <si>
    <t>伊勢崎市</t>
  </si>
  <si>
    <t>太田市</t>
  </si>
  <si>
    <t>館林市</t>
  </si>
  <si>
    <t>玉村町</t>
  </si>
  <si>
    <t>板倉町</t>
  </si>
  <si>
    <t>千代田町</t>
  </si>
  <si>
    <t>大泉町</t>
  </si>
  <si>
    <t>邑楽町</t>
  </si>
  <si>
    <t>高崎市</t>
  </si>
  <si>
    <t>安中市</t>
  </si>
  <si>
    <t>藤岡市</t>
  </si>
  <si>
    <t>上野村</t>
  </si>
  <si>
    <t>富岡市</t>
  </si>
  <si>
    <t>下仁田町</t>
  </si>
  <si>
    <t>南牧村</t>
  </si>
  <si>
    <t>甘楽町</t>
  </si>
  <si>
    <t>第３表　森林の概況</t>
  </si>
  <si>
    <t xml:space="preserve">    公　　  　　　有　　  　　　林　　　　　　以　　　　　外</t>
  </si>
  <si>
    <t>利根上流森林計画区</t>
  </si>
  <si>
    <t>利根下流森林計画区</t>
  </si>
  <si>
    <t>明和町</t>
  </si>
  <si>
    <t>神流町</t>
  </si>
  <si>
    <t>（２）保有形態別蓄積</t>
  </si>
  <si>
    <t>…</t>
  </si>
  <si>
    <r>
      <t>（単位：m</t>
    </r>
    <r>
      <rPr>
        <vertAlign val="superscript"/>
        <sz val="12"/>
        <rFont val="ＭＳ Ｐ明朝"/>
        <family val="1"/>
      </rPr>
      <t>3</t>
    </r>
    <r>
      <rPr>
        <sz val="12"/>
        <rFont val="ＭＳ Ｐ明朝"/>
        <family val="1"/>
      </rPr>
      <t>）</t>
    </r>
  </si>
  <si>
    <t>国有林計</t>
  </si>
  <si>
    <t xml:space="preserve">    公　　  　　　有　　  　　　林　　　　　以　　　　外</t>
  </si>
  <si>
    <t>林野庁計</t>
  </si>
  <si>
    <t>公有林計</t>
  </si>
  <si>
    <t>私有林計</t>
  </si>
  <si>
    <t>国　　　　　　　　　　有　　　　　　　　　　林</t>
  </si>
  <si>
    <t>（単位：ha ）</t>
  </si>
  <si>
    <t>竹  林</t>
  </si>
  <si>
    <t>伐採跡地</t>
  </si>
  <si>
    <t>更新困難地</t>
  </si>
  <si>
    <t>（３）林種別面積（林野庁所管以外の国有林は含まない）</t>
  </si>
  <si>
    <t>（注）　その他は竹林・伐採跡地・未立木地・更新困難地の合計とした</t>
  </si>
  <si>
    <t>総　　　　　　　　　　　　　　　　　　　　数</t>
  </si>
  <si>
    <t>民　　　　　　　　　　有　　　　　　　　　　林</t>
  </si>
  <si>
    <t>総　計</t>
  </si>
  <si>
    <t>人工林・天然林計</t>
  </si>
  <si>
    <t>国有林計</t>
  </si>
  <si>
    <t>民有林計</t>
  </si>
  <si>
    <t>人工林・天然林計</t>
  </si>
  <si>
    <t>合　計</t>
  </si>
  <si>
    <t>人工林計</t>
  </si>
  <si>
    <t>天然林計</t>
  </si>
  <si>
    <t>その他計</t>
  </si>
  <si>
    <t>国　　　　　　　　　　有　　　　　　　　　　林</t>
  </si>
  <si>
    <t>国有林計</t>
  </si>
  <si>
    <t>人工林・天然林計</t>
  </si>
  <si>
    <t>人　　　工　　　林</t>
  </si>
  <si>
    <t>天　　　然　　　林</t>
  </si>
  <si>
    <t>合　計</t>
  </si>
  <si>
    <t>針葉樹</t>
  </si>
  <si>
    <t>広葉樹</t>
  </si>
  <si>
    <t>人工林計</t>
  </si>
  <si>
    <t>天然林計</t>
  </si>
  <si>
    <t>（４）林種別蓄積（林野庁所管以外の国有林は含まない）</t>
  </si>
  <si>
    <t>平成１７年度</t>
  </si>
  <si>
    <t>吾妻環境森林事務所</t>
  </si>
  <si>
    <t>　　　　　　東吾妻町</t>
  </si>
  <si>
    <t>みどり市</t>
  </si>
  <si>
    <t>　　　　　　みどり市</t>
  </si>
  <si>
    <t>みなかみ町</t>
  </si>
  <si>
    <t>東吾妻町</t>
  </si>
  <si>
    <t>　　　　　　桐生市</t>
  </si>
  <si>
    <t>利根下流森林計画区</t>
  </si>
  <si>
    <t>　吾妻環境森林事務所</t>
  </si>
  <si>
    <t xml:space="preserve">  吾妻環境森林事務所</t>
  </si>
  <si>
    <t>総　数</t>
  </si>
  <si>
    <t>林              野</t>
  </si>
  <si>
    <t>耕                      地</t>
  </si>
  <si>
    <t>その他</t>
  </si>
  <si>
    <t>　　　　　　沼田市</t>
  </si>
  <si>
    <t>　　　　　　片品村</t>
  </si>
  <si>
    <t>　　　　　　川場村</t>
  </si>
  <si>
    <t>　　　　　　昭和村</t>
  </si>
  <si>
    <t>　　　　　みなかみ町</t>
  </si>
  <si>
    <t>　　　　　　中之条町</t>
  </si>
  <si>
    <t>　　　　　　長野原町</t>
  </si>
  <si>
    <t>　　　　　　嬬恋村</t>
  </si>
  <si>
    <t>　　　　　　草津町</t>
  </si>
  <si>
    <t>　　　　　　高山村</t>
  </si>
  <si>
    <t>　　　　　　前橋市</t>
  </si>
  <si>
    <t>　　　　　　伊勢崎市</t>
  </si>
  <si>
    <t>　　　　　　玉村町</t>
  </si>
  <si>
    <t>　　　　　　渋川市</t>
  </si>
  <si>
    <t>　　　　　　榛東村</t>
  </si>
  <si>
    <t>　　　　　　吉岡町</t>
  </si>
  <si>
    <t>　　　　　　太田市</t>
  </si>
  <si>
    <t>　　　　　　館林市</t>
  </si>
  <si>
    <t>　　　　　　板倉町</t>
  </si>
  <si>
    <t>　　　　　　千代田町</t>
  </si>
  <si>
    <t>　　　　　　大泉町</t>
  </si>
  <si>
    <t>　　　　　　邑楽町</t>
  </si>
  <si>
    <t>　　　　　　高崎市</t>
  </si>
  <si>
    <t>　　　　　　安中市</t>
  </si>
  <si>
    <t>　　　　　　藤岡市</t>
  </si>
  <si>
    <t>　　　　　　上野村</t>
  </si>
  <si>
    <t>　　　　　　富岡市</t>
  </si>
  <si>
    <t>　　　　　　下仁田町</t>
  </si>
  <si>
    <t>　　　　　　南牧村</t>
  </si>
  <si>
    <t>　　　　　　甘楽町</t>
  </si>
  <si>
    <t>（１）保有形態別面積</t>
  </si>
  <si>
    <t>総　数</t>
  </si>
  <si>
    <t>人　　　工　　　林</t>
  </si>
  <si>
    <t>天　　　然　　　林</t>
  </si>
  <si>
    <t>その他</t>
  </si>
  <si>
    <t>そ          の          他</t>
  </si>
  <si>
    <t>針葉樹</t>
  </si>
  <si>
    <t>広葉樹</t>
  </si>
  <si>
    <t>針葉樹</t>
  </si>
  <si>
    <t>広葉樹</t>
  </si>
  <si>
    <t>針葉樹</t>
  </si>
  <si>
    <t>広葉樹</t>
  </si>
  <si>
    <t>　　　　２．国有林は森林管理局及び２００５年世界農林業センサス、民有林は林政課</t>
  </si>
  <si>
    <t>　　　　 　 ２．国有林の「その他」は２００５年世界農林業センサス</t>
  </si>
  <si>
    <t>　　　　　２．国有林は森林管理局及び２００５年世界農林業センサス、民有林は林政課</t>
  </si>
  <si>
    <t>総　　　　　数</t>
  </si>
  <si>
    <t>国　 　有　 　林</t>
  </si>
  <si>
    <t>民　　有　　林</t>
  </si>
  <si>
    <t>広 葉 樹</t>
  </si>
  <si>
    <t>第２表　土地利用</t>
  </si>
  <si>
    <t>平成１２年度</t>
  </si>
  <si>
    <t>平成１７年度</t>
  </si>
  <si>
    <t>平成１２年度</t>
  </si>
  <si>
    <t>H12</t>
  </si>
  <si>
    <t>平成１７年度</t>
  </si>
  <si>
    <t>H17</t>
  </si>
  <si>
    <t>平成１２年度</t>
  </si>
  <si>
    <t>H12</t>
  </si>
  <si>
    <t>平成１７年度</t>
  </si>
  <si>
    <t>H17</t>
  </si>
  <si>
    <t>森林総研</t>
  </si>
  <si>
    <t>　　 　　４．私有林は県有、市町村有、森林総研、林業公社以外の民有林</t>
  </si>
  <si>
    <t>　　 　　５．『森林総研』とは独立行政法人森林総合研究所森林農地整備センター前橋水源林整備事務所（旧 緑資源機構）である。</t>
  </si>
  <si>
    <t>(注)１．伐跡地は無立木地の伐跡地を、未立木地は無立木地の改植予定地と未立木地(更新困難地含む)を合算した。</t>
  </si>
  <si>
    <t>　　２．まつには、アカマツ・クロマツ・リキダマツ・ストローブマツ・ヒメコマツを計上した。</t>
  </si>
  <si>
    <t>　　３．国有林のその他は林野庁所管以外のもの。</t>
  </si>
  <si>
    <t>(5)民有林の樹種別齢級別森林資源</t>
  </si>
  <si>
    <t>針　　　　　　　　　　　　　　　葉　　　　　　　　　　　　　　　樹</t>
  </si>
  <si>
    <t>カラマツ</t>
  </si>
  <si>
    <t>その他針葉樹</t>
  </si>
  <si>
    <t>計</t>
  </si>
  <si>
    <t>成長量</t>
  </si>
  <si>
    <t>人工林</t>
  </si>
  <si>
    <t>１齢級</t>
  </si>
  <si>
    <t>天然林</t>
  </si>
  <si>
    <t>２齢級</t>
  </si>
  <si>
    <t>３齢級</t>
  </si>
  <si>
    <t>４齢級</t>
  </si>
  <si>
    <t>５齢級</t>
  </si>
  <si>
    <t>６齢級</t>
  </si>
  <si>
    <t>７齢級</t>
  </si>
  <si>
    <t>８齢級</t>
  </si>
  <si>
    <t>９齢級</t>
  </si>
  <si>
    <t>１０齢級</t>
  </si>
  <si>
    <t>１１齢級</t>
  </si>
  <si>
    <t>１２齢級</t>
  </si>
  <si>
    <t>１３齢級</t>
  </si>
  <si>
    <t>１４齢級</t>
  </si>
  <si>
    <t>１５齢級</t>
  </si>
  <si>
    <t>以上</t>
  </si>
  <si>
    <t>合計</t>
  </si>
  <si>
    <t>国有林</t>
  </si>
  <si>
    <t>総　計</t>
  </si>
  <si>
    <r>
      <t>（単位：ha、m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 xml:space="preserve"> ）</t>
    </r>
  </si>
  <si>
    <t>総　　　　　　　　数</t>
  </si>
  <si>
    <t>区　　分</t>
  </si>
  <si>
    <t>ス　　　　ギ</t>
  </si>
  <si>
    <t>ヒ　ノ　キ</t>
  </si>
  <si>
    <t>マ　　　　ツ</t>
  </si>
  <si>
    <t>面　積</t>
  </si>
  <si>
    <t>蓄　　積</t>
  </si>
  <si>
    <t>（６）民有林の人工林齢級別面積</t>
  </si>
  <si>
    <t>１５齢級以上</t>
  </si>
  <si>
    <t>東吾妻町</t>
  </si>
  <si>
    <t>〔資料〕　林政課</t>
  </si>
  <si>
    <t>総　　数</t>
  </si>
  <si>
    <t>平成１２年度</t>
  </si>
  <si>
    <t>H12</t>
  </si>
  <si>
    <t>平成１７年度</t>
  </si>
  <si>
    <t>H17</t>
  </si>
  <si>
    <t>（７）民有林の人工林齢級別蓄積</t>
  </si>
  <si>
    <t>（単位：m3 ）</t>
  </si>
  <si>
    <t>第４表　国有林（市町村別・事業別）</t>
  </si>
  <si>
    <t>（１）分収造林</t>
  </si>
  <si>
    <t>（２）共用林野</t>
  </si>
  <si>
    <t>市   町   村</t>
  </si>
  <si>
    <t>総    数</t>
  </si>
  <si>
    <t>学    校</t>
  </si>
  <si>
    <t>各種記念</t>
  </si>
  <si>
    <t>林業構造改善</t>
  </si>
  <si>
    <t>山村振興</t>
  </si>
  <si>
    <t>一    般</t>
  </si>
  <si>
    <t>総   数</t>
  </si>
  <si>
    <t>普   通</t>
  </si>
  <si>
    <t>薪   炭</t>
  </si>
  <si>
    <t>放   牧</t>
  </si>
  <si>
    <t>件数</t>
  </si>
  <si>
    <t>面  積</t>
  </si>
  <si>
    <t>平成１２年度</t>
  </si>
  <si>
    <t>平成１７年度</t>
  </si>
  <si>
    <t>森林管理署</t>
  </si>
  <si>
    <t>市町村</t>
  </si>
  <si>
    <t>利根沼田</t>
  </si>
  <si>
    <t>沼田市</t>
  </si>
  <si>
    <t>片品村</t>
  </si>
  <si>
    <t>川場村</t>
  </si>
  <si>
    <t>昭和村</t>
  </si>
  <si>
    <t>吾妻</t>
  </si>
  <si>
    <t>中之条町</t>
  </si>
  <si>
    <t>草津町</t>
  </si>
  <si>
    <t>長野原町</t>
  </si>
  <si>
    <t>嬬恋村</t>
  </si>
  <si>
    <t>群馬</t>
  </si>
  <si>
    <t>富岡市</t>
  </si>
  <si>
    <t>甘楽町</t>
  </si>
  <si>
    <t>下仁田町</t>
  </si>
  <si>
    <t>南牧村</t>
  </si>
  <si>
    <t>藤岡市</t>
  </si>
  <si>
    <t>藤岡市</t>
  </si>
  <si>
    <t>上野村</t>
  </si>
  <si>
    <t>神流町</t>
  </si>
  <si>
    <t>安中市</t>
  </si>
  <si>
    <t>高崎市</t>
  </si>
  <si>
    <t>桐生市</t>
  </si>
  <si>
    <t>渋川市</t>
  </si>
  <si>
    <t>前橋市</t>
  </si>
  <si>
    <t>(3) 公有林野等官行造林契約現況</t>
  </si>
  <si>
    <t>契約存続期間</t>
  </si>
  <si>
    <t>年   数</t>
  </si>
  <si>
    <t>面   積</t>
  </si>
  <si>
    <t>自（年・月・日）</t>
  </si>
  <si>
    <t>至（年・月・日）</t>
  </si>
  <si>
    <t>昭和  8.12.26</t>
  </si>
  <si>
    <t>平成 22.12.31</t>
  </si>
  <si>
    <t>昭和 36. 3.  5</t>
  </si>
  <si>
    <t>平成 23. 3.  4</t>
  </si>
  <si>
    <t>昭和 18. 4. 22</t>
  </si>
  <si>
    <t>平成 32. 3. 31</t>
  </si>
  <si>
    <t>群　　馬</t>
  </si>
  <si>
    <t>神流町</t>
  </si>
  <si>
    <t xml:space="preserve">昭和 32.12. 20 </t>
  </si>
  <si>
    <t xml:space="preserve">昭和 34. 8.   5 </t>
  </si>
  <si>
    <t>計</t>
  </si>
  <si>
    <t>〃</t>
  </si>
  <si>
    <t>　</t>
  </si>
  <si>
    <t>424,132ha</t>
  </si>
  <si>
    <t>（訂正シール）</t>
  </si>
  <si>
    <t>渋川森林事務所</t>
  </si>
  <si>
    <t>桐生森林事務所</t>
  </si>
  <si>
    <t>　渋川森林事務所</t>
  </si>
  <si>
    <t>　桐生森林事務所</t>
  </si>
  <si>
    <t>桐生森林事務所</t>
  </si>
  <si>
    <t>　渋川森林事務所</t>
  </si>
  <si>
    <t>　藤岡森林事務所</t>
  </si>
  <si>
    <t>　富岡森林事務所</t>
  </si>
  <si>
    <t>藤岡森林事務所</t>
  </si>
  <si>
    <t>富岡森林事務所</t>
  </si>
  <si>
    <t>利根沼田環境森林事務所</t>
  </si>
  <si>
    <t>西部環境森林事務所</t>
  </si>
  <si>
    <t>　西部環境森林事務所</t>
  </si>
  <si>
    <t>　利根沼田環境森林事務所</t>
  </si>
  <si>
    <t>利根沼田環境森林事務所</t>
  </si>
  <si>
    <t>利根沼田環境森林事務所</t>
  </si>
  <si>
    <t>平成２1年度</t>
  </si>
  <si>
    <t>平成２１年度</t>
  </si>
  <si>
    <t>平成２１年度</t>
  </si>
  <si>
    <t>〔資料〕１．総面積は群馬県統計年鑑、耕地面積は関東農政局群馬農政事務所「第56次群馬農林水産統計年報」</t>
  </si>
  <si>
    <t>平成２１年度</t>
  </si>
  <si>
    <t>平成２１年度</t>
  </si>
  <si>
    <t>平成２１年度</t>
  </si>
  <si>
    <t>H21</t>
  </si>
  <si>
    <t>平成２１年度</t>
  </si>
  <si>
    <t>〔資料〕１．総面積は群馬県統計年鑑、耕地面積は関東農政局群馬農政事務所｢第56次群馬農林水産統計年報｣</t>
  </si>
  <si>
    <t>平成２1年度</t>
  </si>
  <si>
    <t>平成 47.12.19</t>
  </si>
  <si>
    <t>平成 52.  8.  4</t>
  </si>
  <si>
    <t>〔資料〕 　１．国有林は森林管理局、民有林は林政課（２2．４．１現在）</t>
  </si>
  <si>
    <t>平成２1年度</t>
  </si>
  <si>
    <t>平成２1年度</t>
  </si>
  <si>
    <t>H21</t>
  </si>
  <si>
    <t>H21</t>
  </si>
  <si>
    <t>H21</t>
  </si>
  <si>
    <t>H21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</si>
</sst>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,##0;[Red]#,##0"/>
    <numFmt numFmtId="179" formatCode="#,###"/>
    <numFmt numFmtId="180" formatCode="#,##0;\-#,##0;&quot;…&quot;"/>
    <numFmt numFmtId="181" formatCode="#,##0_);[Red]\(#,##0\)"/>
    <numFmt numFmtId="182" formatCode="0.0_ "/>
    <numFmt numFmtId="183" formatCode="#,###.00"/>
    <numFmt numFmtId="184" formatCode="#,##0;\-#,##0;&quot;－&quot;"/>
    <numFmt numFmtId="185" formatCode="#,##0.00;\-#,##0.00;&quot;－&quot;"/>
    <numFmt numFmtId="186" formatCode="#,##0.00_ "/>
    <numFmt numFmtId="187" formatCode="0.0%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Ｐ明朝"/>
      <family val="1"/>
    </font>
    <font>
      <b/>
      <sz val="9"/>
      <name val="ＭＳ ＰＲ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16"/>
      <name val="ＭＳ 明朝"/>
      <family val="1"/>
    </font>
    <font>
      <vertAlign val="superscript"/>
      <sz val="10"/>
      <name val="ＭＳ 明朝"/>
      <family val="1"/>
    </font>
    <font>
      <sz val="12"/>
      <name val="ＭＳ Ｐ明朝"/>
      <family val="1"/>
    </font>
    <font>
      <vertAlign val="superscript"/>
      <sz val="10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vertAlign val="superscript"/>
      <sz val="12"/>
      <name val="ＭＳ Ｐ明朝"/>
      <family val="1"/>
    </font>
    <font>
      <b/>
      <sz val="11"/>
      <name val="ＭＳ ＰＲゴシック"/>
      <family val="3"/>
    </font>
    <font>
      <b/>
      <sz val="12"/>
      <name val="ＭＳ ＰＲゴシック"/>
      <family val="3"/>
    </font>
    <font>
      <sz val="11"/>
      <name val="ＭＳ Ｐ明朝"/>
      <family val="1"/>
    </font>
    <font>
      <sz val="12"/>
      <name val="ＭＳ ＰＲゴシック"/>
      <family val="3"/>
    </font>
    <font>
      <b/>
      <sz val="10"/>
      <name val="ＭＳ Ｐ明朝"/>
      <family val="1"/>
    </font>
    <font>
      <sz val="9"/>
      <name val="ＭＳ ＰＲゴシック"/>
      <family val="3"/>
    </font>
    <font>
      <sz val="10"/>
      <name val="ＭＳ ＰＲゴシック"/>
      <family val="3"/>
    </font>
    <font>
      <sz val="11"/>
      <name val="ＭＳ ＰＲゴシック"/>
      <family val="3"/>
    </font>
    <font>
      <b/>
      <sz val="8"/>
      <name val="ＭＳ Ｐ明朝"/>
      <family val="1"/>
    </font>
    <font>
      <b/>
      <sz val="10"/>
      <name val="ＭＳ ＰＲ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ＪＳ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0"/>
      <name val="ＭＳ ゴシック"/>
      <family val="3"/>
    </font>
    <font>
      <sz val="9"/>
      <color indexed="8"/>
      <name val="ＭＳ Ｐゴシック"/>
      <family val="3"/>
    </font>
    <font>
      <sz val="8.75"/>
      <color indexed="8"/>
      <name val="ＭＳ Ｐゴシック"/>
      <family val="3"/>
    </font>
    <font>
      <sz val="10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2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thin"/>
      <right style="hair"/>
      <top style="hair"/>
      <bottom style="medium"/>
    </border>
    <border>
      <left style="hair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/>
      <top style="hair"/>
      <bottom style="medium"/>
    </border>
    <border>
      <left style="hair"/>
      <right style="thin"/>
      <top style="hair"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/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/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medium"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>
        <color indexed="8"/>
      </left>
      <right style="medium"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/>
      <top style="hair">
        <color indexed="8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>
        <color indexed="8"/>
      </right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/>
      <top style="medium"/>
      <bottom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 style="medium"/>
    </border>
    <border>
      <left style="hair"/>
      <right style="medium"/>
      <top/>
      <bottom style="medium"/>
    </border>
    <border>
      <left style="medium"/>
      <right/>
      <top style="hair">
        <color indexed="8"/>
      </top>
      <bottom style="hair"/>
    </border>
    <border>
      <left style="thin">
        <color indexed="8"/>
      </left>
      <right/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/>
    </border>
    <border>
      <left style="medium"/>
      <right/>
      <top style="hair"/>
      <bottom style="hair"/>
    </border>
    <border>
      <left style="hair">
        <color indexed="8"/>
      </left>
      <right/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medium"/>
      <right/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medium">
        <color indexed="8"/>
      </left>
      <right/>
      <top/>
      <bottom style="medium"/>
    </border>
    <border>
      <left style="medium"/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/>
      <right style="thin">
        <color indexed="8"/>
      </right>
      <top/>
      <bottom style="medium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/>
      <right/>
      <top style="hair"/>
      <bottom style="medium"/>
    </border>
    <border>
      <left style="thin">
        <color indexed="8"/>
      </left>
      <right/>
      <top style="thin">
        <color indexed="8"/>
      </top>
      <bottom/>
    </border>
    <border>
      <left style="medium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/>
      <bottom style="medium">
        <color indexed="8"/>
      </bottom>
    </border>
    <border>
      <left/>
      <right style="thin">
        <color indexed="8"/>
      </right>
      <top style="medium"/>
      <bottom/>
    </border>
    <border>
      <left/>
      <right style="medium"/>
      <top/>
      <bottom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>
        <color indexed="63"/>
      </bottom>
    </border>
    <border>
      <left style="medium"/>
      <right/>
      <top style="hair"/>
      <bottom style="hair">
        <color indexed="8"/>
      </bottom>
    </border>
    <border>
      <left style="thin">
        <color indexed="8"/>
      </left>
      <right/>
      <top style="hair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/>
      <top style="hair"/>
      <bottom style="hair">
        <color indexed="8"/>
      </bottom>
    </border>
    <border>
      <left style="thin">
        <color indexed="8"/>
      </left>
      <right style="medium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/>
      <bottom style="medium"/>
    </border>
    <border>
      <left>
        <color indexed="63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medium"/>
      <bottom/>
    </border>
    <border>
      <left style="medium"/>
      <right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thin"/>
      <bottom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9" fillId="32" borderId="0" applyNumberFormat="0" applyBorder="0" applyAlignment="0" applyProtection="0"/>
  </cellStyleXfs>
  <cellXfs count="1138">
    <xf numFmtId="0" fontId="0" fillId="0" borderId="0" xfId="0" applyAlignment="1">
      <alignment vertical="center"/>
    </xf>
    <xf numFmtId="0" fontId="4" fillId="0" borderId="0" xfId="63" applyNumberFormat="1" applyFont="1" applyAlignment="1" applyProtection="1">
      <alignment vertical="center"/>
      <protection locked="0"/>
    </xf>
    <xf numFmtId="0" fontId="3" fillId="0" borderId="0" xfId="63" applyNumberFormat="1" applyFont="1" applyAlignment="1" applyProtection="1">
      <alignment vertical="center"/>
      <protection locked="0"/>
    </xf>
    <xf numFmtId="0" fontId="5" fillId="0" borderId="0" xfId="63" applyNumberFormat="1" applyFont="1" applyAlignment="1" applyProtection="1">
      <alignment vertical="center"/>
      <protection locked="0"/>
    </xf>
    <xf numFmtId="0" fontId="6" fillId="0" borderId="0" xfId="63" applyNumberFormat="1" applyFont="1" applyAlignment="1" applyProtection="1">
      <alignment vertical="center"/>
      <protection locked="0"/>
    </xf>
    <xf numFmtId="0" fontId="7" fillId="0" borderId="0" xfId="63" applyNumberFormat="1" applyFont="1" applyFill="1" applyAlignment="1" applyProtection="1">
      <alignment vertical="center"/>
      <protection locked="0"/>
    </xf>
    <xf numFmtId="0" fontId="3" fillId="0" borderId="0" xfId="63" applyNumberFormat="1" applyFont="1" applyFill="1" applyAlignment="1" applyProtection="1">
      <alignment vertical="center"/>
      <protection locked="0"/>
    </xf>
    <xf numFmtId="0" fontId="5" fillId="0" borderId="0" xfId="63" applyNumberFormat="1" applyFont="1" applyFill="1" applyAlignment="1" applyProtection="1">
      <alignment vertical="center"/>
      <protection locked="0"/>
    </xf>
    <xf numFmtId="0" fontId="5" fillId="0" borderId="0" xfId="63" applyNumberFormat="1" applyFont="1" applyFill="1" applyAlignment="1" applyProtection="1">
      <alignment horizontal="right" vertical="center"/>
      <protection locked="0"/>
    </xf>
    <xf numFmtId="0" fontId="5" fillId="0" borderId="10" xfId="63" applyNumberFormat="1" applyFont="1" applyFill="1" applyBorder="1" applyAlignment="1" applyProtection="1">
      <alignment horizontal="center" vertical="center"/>
      <protection locked="0"/>
    </xf>
    <xf numFmtId="0" fontId="8" fillId="0" borderId="11" xfId="63" applyNumberFormat="1" applyFont="1" applyFill="1" applyBorder="1" applyAlignment="1" applyProtection="1">
      <alignment horizontal="distributed" vertical="center"/>
      <protection locked="0"/>
    </xf>
    <xf numFmtId="184" fontId="8" fillId="0" borderId="10" xfId="63" applyNumberFormat="1" applyFont="1" applyFill="1" applyBorder="1" applyAlignment="1" applyProtection="1">
      <alignment vertical="center"/>
      <protection/>
    </xf>
    <xf numFmtId="184" fontId="8" fillId="0" borderId="12" xfId="63" applyNumberFormat="1" applyFont="1" applyFill="1" applyBorder="1" applyAlignment="1" applyProtection="1">
      <alignment vertical="center"/>
      <protection/>
    </xf>
    <xf numFmtId="184" fontId="9" fillId="0" borderId="13" xfId="63" applyNumberFormat="1" applyFont="1" applyFill="1" applyBorder="1" applyAlignment="1" applyProtection="1">
      <alignment vertical="center"/>
      <protection/>
    </xf>
    <xf numFmtId="184" fontId="9" fillId="0" borderId="13" xfId="63" applyNumberFormat="1" applyFont="1" applyFill="1" applyBorder="1" applyAlignment="1" applyProtection="1">
      <alignment vertical="center"/>
      <protection locked="0"/>
    </xf>
    <xf numFmtId="184" fontId="9" fillId="0" borderId="14" xfId="63" applyNumberFormat="1" applyFont="1" applyFill="1" applyBorder="1" applyAlignment="1" applyProtection="1">
      <alignment vertical="center"/>
      <protection/>
    </xf>
    <xf numFmtId="0" fontId="10" fillId="0" borderId="0" xfId="63" applyNumberFormat="1" applyFont="1" applyFill="1" applyAlignment="1" applyProtection="1">
      <alignment vertical="center"/>
      <protection locked="0"/>
    </xf>
    <xf numFmtId="0" fontId="5" fillId="0" borderId="0" xfId="63" applyNumberFormat="1" applyFont="1" applyFill="1" applyAlignment="1" applyProtection="1">
      <alignment/>
      <protection locked="0"/>
    </xf>
    <xf numFmtId="0" fontId="5" fillId="0" borderId="15" xfId="63" applyNumberFormat="1" applyFont="1" applyFill="1" applyBorder="1" applyAlignment="1" applyProtection="1">
      <alignment horizontal="center" vertical="center"/>
      <protection locked="0"/>
    </xf>
    <xf numFmtId="0" fontId="5" fillId="0" borderId="16" xfId="63" applyNumberFormat="1" applyFont="1" applyFill="1" applyBorder="1" applyAlignment="1" applyProtection="1">
      <alignment horizontal="center"/>
      <protection locked="0"/>
    </xf>
    <xf numFmtId="0" fontId="5" fillId="0" borderId="11" xfId="63" applyNumberFormat="1" applyFont="1" applyFill="1" applyBorder="1" applyAlignment="1" applyProtection="1">
      <alignment horizontal="center" vertical="center"/>
      <protection locked="0"/>
    </xf>
    <xf numFmtId="185" fontId="5" fillId="0" borderId="10" xfId="63" applyNumberFormat="1" applyFont="1" applyFill="1" applyBorder="1" applyAlignment="1" applyProtection="1">
      <alignment/>
      <protection/>
    </xf>
    <xf numFmtId="185" fontId="5" fillId="0" borderId="17" xfId="63" applyNumberFormat="1" applyFont="1" applyFill="1" applyBorder="1" applyAlignment="1" applyProtection="1">
      <alignment/>
      <protection/>
    </xf>
    <xf numFmtId="182" fontId="5" fillId="0" borderId="12" xfId="63" applyNumberFormat="1" applyFont="1" applyFill="1" applyBorder="1" applyAlignment="1" applyProtection="1">
      <alignment/>
      <protection/>
    </xf>
    <xf numFmtId="0" fontId="5" fillId="0" borderId="18" xfId="63" applyNumberFormat="1" applyFont="1" applyFill="1" applyBorder="1" applyAlignment="1" applyProtection="1">
      <alignment horizontal="center" vertical="center"/>
      <protection locked="0"/>
    </xf>
    <xf numFmtId="185" fontId="5" fillId="0" borderId="13" xfId="63" applyNumberFormat="1" applyFont="1" applyFill="1" applyBorder="1" applyAlignment="1" applyProtection="1">
      <alignment/>
      <protection/>
    </xf>
    <xf numFmtId="185" fontId="5" fillId="0" borderId="19" xfId="63" applyNumberFormat="1" applyFont="1" applyFill="1" applyBorder="1" applyAlignment="1" applyProtection="1">
      <alignment/>
      <protection/>
    </xf>
    <xf numFmtId="182" fontId="5" fillId="0" borderId="14" xfId="63" applyNumberFormat="1" applyFont="1" applyFill="1" applyBorder="1" applyAlignment="1" applyProtection="1">
      <alignment/>
      <protection/>
    </xf>
    <xf numFmtId="0" fontId="11" fillId="0" borderId="0" xfId="63" applyNumberFormat="1" applyFont="1" applyFill="1" applyAlignment="1" applyProtection="1">
      <alignment/>
      <protection locked="0"/>
    </xf>
    <xf numFmtId="0" fontId="5" fillId="0" borderId="20" xfId="63" applyNumberFormat="1" applyFont="1" applyFill="1" applyBorder="1" applyAlignment="1" applyProtection="1">
      <alignment horizontal="center" vertical="center"/>
      <protection locked="0"/>
    </xf>
    <xf numFmtId="185" fontId="5" fillId="0" borderId="21" xfId="63" applyNumberFormat="1" applyFont="1" applyFill="1" applyBorder="1" applyAlignment="1" applyProtection="1">
      <alignment/>
      <protection/>
    </xf>
    <xf numFmtId="185" fontId="5" fillId="0" borderId="22" xfId="63" applyNumberFormat="1" applyFont="1" applyFill="1" applyBorder="1" applyAlignment="1" applyProtection="1">
      <alignment/>
      <protection/>
    </xf>
    <xf numFmtId="0" fontId="12" fillId="0" borderId="0" xfId="63" applyNumberFormat="1" applyFont="1" applyFill="1" applyAlignment="1" applyProtection="1">
      <alignment vertical="center"/>
      <protection locked="0"/>
    </xf>
    <xf numFmtId="0" fontId="8" fillId="0" borderId="0" xfId="63" applyNumberFormat="1" applyFont="1" applyFill="1" applyAlignment="1" applyProtection="1">
      <alignment vertical="center"/>
      <protection locked="0"/>
    </xf>
    <xf numFmtId="0" fontId="8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6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63" applyNumberFormat="1" applyFont="1" applyFill="1" applyAlignment="1" applyProtection="1">
      <alignment vertical="center"/>
      <protection locked="0"/>
    </xf>
    <xf numFmtId="0" fontId="14" fillId="0" borderId="0" xfId="63" applyNumberFormat="1" applyFont="1" applyFill="1" applyAlignment="1" applyProtection="1">
      <alignment vertical="center"/>
      <protection locked="0"/>
    </xf>
    <xf numFmtId="0" fontId="7" fillId="0" borderId="0" xfId="63" applyFont="1" applyAlignment="1">
      <alignment vertical="center"/>
      <protection/>
    </xf>
    <xf numFmtId="0" fontId="5" fillId="0" borderId="0" xfId="63" applyNumberFormat="1" applyFont="1" applyAlignment="1" applyProtection="1">
      <alignment/>
      <protection locked="0"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8" fillId="0" borderId="25" xfId="63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>
      <alignment/>
      <protection/>
    </xf>
    <xf numFmtId="178" fontId="9" fillId="0" borderId="26" xfId="63" applyNumberFormat="1" applyFont="1" applyFill="1" applyBorder="1" applyAlignment="1" applyProtection="1">
      <alignment vertical="center"/>
      <protection/>
    </xf>
    <xf numFmtId="178" fontId="9" fillId="0" borderId="27" xfId="63" applyNumberFormat="1" applyFont="1" applyFill="1" applyBorder="1" applyAlignment="1" applyProtection="1">
      <alignment vertical="center"/>
      <protection/>
    </xf>
    <xf numFmtId="178" fontId="9" fillId="0" borderId="28" xfId="63" applyNumberFormat="1" applyFont="1" applyFill="1" applyBorder="1" applyAlignment="1" applyProtection="1">
      <alignment vertical="center"/>
      <protection/>
    </xf>
    <xf numFmtId="0" fontId="5" fillId="0" borderId="29" xfId="63" applyNumberFormat="1" applyFont="1" applyFill="1" applyBorder="1" applyAlignment="1">
      <alignment horizontal="left" vertical="center"/>
      <protection/>
    </xf>
    <xf numFmtId="0" fontId="5" fillId="0" borderId="30" xfId="63" applyNumberFormat="1" applyFont="1" applyFill="1" applyBorder="1" applyAlignment="1">
      <alignment horizontal="left" vertical="center"/>
      <protection/>
    </xf>
    <xf numFmtId="176" fontId="5" fillId="0" borderId="31" xfId="63" applyNumberFormat="1" applyFont="1" applyFill="1" applyBorder="1" applyAlignment="1">
      <alignment vertical="center"/>
      <protection/>
    </xf>
    <xf numFmtId="176" fontId="5" fillId="0" borderId="32" xfId="63" applyNumberFormat="1" applyFont="1" applyFill="1" applyBorder="1" applyAlignment="1">
      <alignment vertical="center"/>
      <protection/>
    </xf>
    <xf numFmtId="176" fontId="5" fillId="0" borderId="33" xfId="63" applyNumberFormat="1" applyFont="1" applyFill="1" applyBorder="1" applyAlignment="1">
      <alignment vertical="center"/>
      <protection/>
    </xf>
    <xf numFmtId="0" fontId="9" fillId="0" borderId="29" xfId="63" applyFont="1" applyFill="1" applyBorder="1" applyAlignment="1">
      <alignment horizontal="distributed" vertical="center"/>
      <protection/>
    </xf>
    <xf numFmtId="0" fontId="3" fillId="0" borderId="34" xfId="63" applyNumberFormat="1" applyFont="1" applyFill="1" applyBorder="1" applyAlignment="1" applyProtection="1">
      <alignment horizontal="distributed" vertical="center"/>
      <protection locked="0"/>
    </xf>
    <xf numFmtId="178" fontId="9" fillId="0" borderId="31" xfId="63" applyNumberFormat="1" applyFont="1" applyFill="1" applyBorder="1" applyAlignment="1" applyProtection="1">
      <alignment vertical="center"/>
      <protection/>
    </xf>
    <xf numFmtId="178" fontId="9" fillId="0" borderId="32" xfId="63" applyNumberFormat="1" applyFont="1" applyFill="1" applyBorder="1" applyAlignment="1" applyProtection="1">
      <alignment vertical="center"/>
      <protection/>
    </xf>
    <xf numFmtId="178" fontId="9" fillId="0" borderId="33" xfId="63" applyNumberFormat="1" applyFont="1" applyFill="1" applyBorder="1" applyAlignment="1" applyProtection="1">
      <alignment vertical="center"/>
      <protection/>
    </xf>
    <xf numFmtId="0" fontId="8" fillId="0" borderId="29" xfId="63" applyNumberFormat="1" applyFont="1" applyFill="1" applyBorder="1" applyAlignment="1" applyProtection="1">
      <alignment horizontal="left" vertical="center"/>
      <protection locked="0"/>
    </xf>
    <xf numFmtId="0" fontId="8" fillId="0" borderId="30" xfId="63" applyFont="1" applyFill="1" applyBorder="1" applyAlignment="1">
      <alignment horizontal="distributed" vertical="center"/>
      <protection/>
    </xf>
    <xf numFmtId="178" fontId="8" fillId="0" borderId="31" xfId="63" applyNumberFormat="1" applyFont="1" applyFill="1" applyBorder="1" applyAlignment="1" applyProtection="1">
      <alignment vertical="center"/>
      <protection/>
    </xf>
    <xf numFmtId="178" fontId="8" fillId="0" borderId="32" xfId="63" applyNumberFormat="1" applyFont="1" applyFill="1" applyBorder="1" applyAlignment="1" applyProtection="1">
      <alignment vertical="center"/>
      <protection/>
    </xf>
    <xf numFmtId="0" fontId="5" fillId="0" borderId="29" xfId="63" applyNumberFormat="1" applyFont="1" applyFill="1" applyBorder="1" applyAlignment="1" applyProtection="1">
      <alignment horizontal="left" vertical="center"/>
      <protection locked="0"/>
    </xf>
    <xf numFmtId="176" fontId="5" fillId="0" borderId="31" xfId="63" applyNumberFormat="1" applyFont="1" applyFill="1" applyBorder="1" applyAlignment="1" applyProtection="1">
      <alignment vertical="center"/>
      <protection/>
    </xf>
    <xf numFmtId="176" fontId="5" fillId="0" borderId="32" xfId="63" applyNumberFormat="1" applyFont="1" applyFill="1" applyBorder="1" applyAlignment="1" applyProtection="1">
      <alignment vertical="center"/>
      <protection/>
    </xf>
    <xf numFmtId="178" fontId="9" fillId="0" borderId="31" xfId="63" applyNumberFormat="1" applyFont="1" applyFill="1" applyBorder="1" applyAlignment="1">
      <alignment vertical="center"/>
      <protection/>
    </xf>
    <xf numFmtId="176" fontId="9" fillId="0" borderId="31" xfId="63" applyNumberFormat="1" applyFont="1" applyFill="1" applyBorder="1" applyAlignment="1">
      <alignment vertical="center"/>
      <protection/>
    </xf>
    <xf numFmtId="176" fontId="9" fillId="0" borderId="32" xfId="63" applyNumberFormat="1" applyFont="1" applyFill="1" applyBorder="1" applyAlignment="1">
      <alignment vertical="center"/>
      <protection/>
    </xf>
    <xf numFmtId="176" fontId="9" fillId="0" borderId="33" xfId="63" applyNumberFormat="1" applyFont="1" applyFill="1" applyBorder="1" applyAlignment="1">
      <alignment vertical="center"/>
      <protection/>
    </xf>
    <xf numFmtId="0" fontId="8" fillId="0" borderId="29" xfId="63" applyFont="1" applyFill="1" applyBorder="1" applyAlignment="1">
      <alignment horizontal="distributed" vertical="center"/>
      <protection/>
    </xf>
    <xf numFmtId="177" fontId="8" fillId="0" borderId="32" xfId="63" applyNumberFormat="1" applyFont="1" applyFill="1" applyBorder="1" applyAlignment="1" applyProtection="1">
      <alignment vertical="center"/>
      <protection/>
    </xf>
    <xf numFmtId="178" fontId="8" fillId="0" borderId="35" xfId="63" applyNumberFormat="1" applyFont="1" applyFill="1" applyBorder="1" applyAlignment="1" applyProtection="1">
      <alignment vertical="center"/>
      <protection/>
    </xf>
    <xf numFmtId="178" fontId="8" fillId="0" borderId="36" xfId="63" applyNumberFormat="1" applyFont="1" applyFill="1" applyBorder="1" applyAlignment="1" applyProtection="1">
      <alignment vertical="center"/>
      <protection/>
    </xf>
    <xf numFmtId="177" fontId="8" fillId="0" borderId="37" xfId="63" applyNumberFormat="1" applyFont="1" applyFill="1" applyBorder="1" applyAlignment="1" applyProtection="1">
      <alignment vertical="center"/>
      <protection/>
    </xf>
    <xf numFmtId="177" fontId="8" fillId="0" borderId="38" xfId="63" applyNumberFormat="1" applyFont="1" applyFill="1" applyBorder="1" applyAlignment="1">
      <alignment vertical="center"/>
      <protection/>
    </xf>
    <xf numFmtId="177" fontId="8" fillId="0" borderId="39" xfId="63" applyNumberFormat="1" applyFont="1" applyFill="1" applyBorder="1" applyAlignment="1">
      <alignment vertical="center"/>
      <protection/>
    </xf>
    <xf numFmtId="177" fontId="8" fillId="0" borderId="0" xfId="63" applyNumberFormat="1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3" fontId="5" fillId="0" borderId="0" xfId="63" applyNumberFormat="1" applyFont="1" applyFill="1" applyBorder="1" applyAlignment="1">
      <alignment vertical="center"/>
      <protection/>
    </xf>
    <xf numFmtId="3" fontId="10" fillId="0" borderId="0" xfId="63" applyNumberFormat="1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right" vertical="center"/>
      <protection/>
    </xf>
    <xf numFmtId="0" fontId="5" fillId="0" borderId="0" xfId="63" applyNumberFormat="1" applyFont="1" applyFill="1" applyBorder="1" applyAlignment="1">
      <alignment vertical="center"/>
      <protection/>
    </xf>
    <xf numFmtId="0" fontId="10" fillId="0" borderId="0" xfId="63" applyNumberFormat="1" applyFont="1" applyFill="1" applyBorder="1" applyAlignment="1">
      <alignment vertical="center"/>
      <protection/>
    </xf>
    <xf numFmtId="0" fontId="10" fillId="0" borderId="0" xfId="63" applyNumberFormat="1" applyFont="1" applyFill="1" applyBorder="1" applyAlignment="1" quotePrefix="1">
      <alignment vertical="center"/>
      <protection/>
    </xf>
    <xf numFmtId="0" fontId="12" fillId="0" borderId="0" xfId="63" applyFont="1" applyFill="1" applyAlignment="1">
      <alignment vertical="center"/>
      <protection/>
    </xf>
    <xf numFmtId="0" fontId="16" fillId="0" borderId="0" xfId="63" applyNumberFormat="1" applyFont="1" applyFill="1" applyAlignment="1" applyProtection="1">
      <alignment vertical="center"/>
      <protection locked="0"/>
    </xf>
    <xf numFmtId="0" fontId="16" fillId="0" borderId="0" xfId="63" applyNumberFormat="1" applyFont="1" applyFill="1" applyAlignment="1" applyProtection="1">
      <alignment/>
      <protection locked="0"/>
    </xf>
    <xf numFmtId="0" fontId="8" fillId="0" borderId="0" xfId="63" applyNumberFormat="1" applyFont="1" applyFill="1" applyAlignment="1" applyProtection="1">
      <alignment/>
      <protection locked="0"/>
    </xf>
    <xf numFmtId="0" fontId="8" fillId="0" borderId="0" xfId="63" applyNumberFormat="1" applyFont="1" applyFill="1" applyAlignment="1" applyProtection="1">
      <alignment horizontal="right" vertical="center"/>
      <protection locked="0"/>
    </xf>
    <xf numFmtId="0" fontId="8" fillId="0" borderId="40" xfId="63" applyNumberFormat="1" applyFont="1" applyFill="1" applyBorder="1" applyAlignment="1" applyProtection="1">
      <alignment horizontal="center" vertical="center"/>
      <protection locked="0"/>
    </xf>
    <xf numFmtId="0" fontId="8" fillId="0" borderId="41" xfId="63" applyNumberFormat="1" applyFont="1" applyFill="1" applyBorder="1" applyAlignment="1" applyProtection="1">
      <alignment horizontal="center" vertical="center"/>
      <protection locked="0"/>
    </xf>
    <xf numFmtId="0" fontId="8" fillId="0" borderId="42" xfId="63" applyNumberFormat="1" applyFont="1" applyFill="1" applyBorder="1" applyAlignment="1" applyProtection="1">
      <alignment horizontal="center" vertical="center"/>
      <protection locked="0"/>
    </xf>
    <xf numFmtId="176" fontId="9" fillId="0" borderId="43" xfId="63" applyNumberFormat="1" applyFont="1" applyFill="1" applyBorder="1" applyAlignment="1" applyProtection="1">
      <alignment vertical="center"/>
      <protection/>
    </xf>
    <xf numFmtId="176" fontId="9" fillId="0" borderId="44" xfId="63" applyNumberFormat="1" applyFont="1" applyFill="1" applyBorder="1" applyAlignment="1" applyProtection="1">
      <alignment vertical="center"/>
      <protection/>
    </xf>
    <xf numFmtId="176" fontId="9" fillId="0" borderId="45" xfId="63" applyNumberFormat="1" applyFont="1" applyFill="1" applyBorder="1" applyAlignment="1" applyProtection="1">
      <alignment vertical="center"/>
      <protection/>
    </xf>
    <xf numFmtId="176" fontId="8" fillId="0" borderId="46" xfId="63" applyNumberFormat="1" applyFont="1" applyFill="1" applyBorder="1" applyAlignment="1" applyProtection="1">
      <alignment vertical="center"/>
      <protection locked="0"/>
    </xf>
    <xf numFmtId="176" fontId="8" fillId="0" borderId="47" xfId="63" applyNumberFormat="1" applyFont="1" applyFill="1" applyBorder="1" applyAlignment="1" applyProtection="1">
      <alignment vertical="center"/>
      <protection locked="0"/>
    </xf>
    <xf numFmtId="176" fontId="8" fillId="0" borderId="48" xfId="63" applyNumberFormat="1" applyFont="1" applyFill="1" applyBorder="1" applyAlignment="1" applyProtection="1">
      <alignment vertical="center"/>
      <protection locked="0"/>
    </xf>
    <xf numFmtId="176" fontId="8" fillId="0" borderId="46" xfId="63" applyNumberFormat="1" applyFont="1" applyFill="1" applyBorder="1" applyAlignment="1" applyProtection="1">
      <alignment vertical="center"/>
      <protection/>
    </xf>
    <xf numFmtId="176" fontId="8" fillId="0" borderId="47" xfId="63" applyNumberFormat="1" applyFont="1" applyFill="1" applyBorder="1" applyAlignment="1" applyProtection="1">
      <alignment vertical="center"/>
      <protection/>
    </xf>
    <xf numFmtId="176" fontId="8" fillId="0" borderId="49" xfId="63" applyNumberFormat="1" applyFont="1" applyFill="1" applyBorder="1" applyAlignment="1" applyProtection="1">
      <alignment vertical="center"/>
      <protection/>
    </xf>
    <xf numFmtId="177" fontId="8" fillId="0" borderId="50" xfId="63" applyNumberFormat="1" applyFont="1" applyFill="1" applyBorder="1" applyAlignment="1" applyProtection="1">
      <alignment horizontal="right" vertical="center"/>
      <protection/>
    </xf>
    <xf numFmtId="177" fontId="8" fillId="0" borderId="36" xfId="63" applyNumberFormat="1" applyFont="1" applyFill="1" applyBorder="1" applyAlignment="1">
      <alignment horizontal="right" vertical="center"/>
      <protection/>
    </xf>
    <xf numFmtId="177" fontId="8" fillId="0" borderId="31" xfId="63" applyNumberFormat="1" applyFont="1" applyFill="1" applyBorder="1" applyAlignment="1">
      <alignment vertical="center"/>
      <protection/>
    </xf>
    <xf numFmtId="177" fontId="8" fillId="0" borderId="32" xfId="63" applyNumberFormat="1" applyFont="1" applyFill="1" applyBorder="1" applyAlignment="1">
      <alignment vertical="center"/>
      <protection/>
    </xf>
    <xf numFmtId="177" fontId="8" fillId="0" borderId="51" xfId="63" applyNumberFormat="1" applyFont="1" applyFill="1" applyBorder="1" applyAlignment="1">
      <alignment vertical="center"/>
      <protection/>
    </xf>
    <xf numFmtId="176" fontId="9" fillId="0" borderId="52" xfId="63" applyNumberFormat="1" applyFont="1" applyFill="1" applyBorder="1" applyAlignment="1" applyProtection="1">
      <alignment vertical="center"/>
      <protection/>
    </xf>
    <xf numFmtId="176" fontId="9" fillId="0" borderId="53" xfId="63" applyNumberFormat="1" applyFont="1" applyFill="1" applyBorder="1" applyAlignment="1" applyProtection="1">
      <alignment vertical="center"/>
      <protection/>
    </xf>
    <xf numFmtId="0" fontId="18" fillId="0" borderId="0" xfId="63" applyFont="1" applyFill="1" applyAlignment="1">
      <alignment vertical="center"/>
      <protection/>
    </xf>
    <xf numFmtId="3" fontId="8" fillId="0" borderId="0" xfId="63" applyNumberFormat="1" applyFont="1" applyFill="1" applyAlignment="1">
      <alignment vertical="center"/>
      <protection/>
    </xf>
    <xf numFmtId="3" fontId="8" fillId="0" borderId="0" xfId="63" applyNumberFormat="1" applyFont="1" applyFill="1" applyAlignment="1">
      <alignment/>
      <protection/>
    </xf>
    <xf numFmtId="0" fontId="8" fillId="0" borderId="0" xfId="63" applyNumberFormat="1" applyFont="1" applyFill="1" applyAlignment="1">
      <alignment/>
      <protection/>
    </xf>
    <xf numFmtId="0" fontId="8" fillId="0" borderId="0" xfId="63" applyFont="1" applyFill="1" applyAlignment="1">
      <alignment vertical="center"/>
      <protection/>
    </xf>
    <xf numFmtId="3" fontId="8" fillId="0" borderId="0" xfId="63" applyNumberFormat="1" applyFont="1" applyFill="1" applyBorder="1">
      <alignment/>
      <protection/>
    </xf>
    <xf numFmtId="184" fontId="8" fillId="0" borderId="0" xfId="63" applyNumberFormat="1" applyFont="1" applyFill="1" applyBorder="1" applyAlignment="1">
      <alignment vertical="center"/>
      <protection/>
    </xf>
    <xf numFmtId="3" fontId="8" fillId="0" borderId="0" xfId="63" applyNumberFormat="1" applyFont="1" applyFill="1" applyBorder="1" applyAlignment="1">
      <alignment horizontal="center"/>
      <protection/>
    </xf>
    <xf numFmtId="3" fontId="8" fillId="0" borderId="0" xfId="63" applyNumberFormat="1" applyFont="1" applyFill="1" applyAlignment="1">
      <alignment horizontal="center"/>
      <protection/>
    </xf>
    <xf numFmtId="0" fontId="8" fillId="0" borderId="54" xfId="63" applyFont="1" applyFill="1" applyBorder="1" applyAlignment="1">
      <alignment horizontal="center" vertical="center"/>
      <protection/>
    </xf>
    <xf numFmtId="0" fontId="8" fillId="0" borderId="55" xfId="63" applyFont="1" applyFill="1" applyBorder="1" applyAlignment="1">
      <alignment horizontal="center" vertical="center"/>
      <protection/>
    </xf>
    <xf numFmtId="0" fontId="8" fillId="0" borderId="56" xfId="63" applyFont="1" applyFill="1" applyBorder="1" applyAlignment="1">
      <alignment horizontal="center" vertical="center"/>
      <protection/>
    </xf>
    <xf numFmtId="0" fontId="8" fillId="0" borderId="57" xfId="63" applyFont="1" applyFill="1" applyBorder="1" applyAlignment="1">
      <alignment horizontal="distributed" vertical="center"/>
      <protection/>
    </xf>
    <xf numFmtId="177" fontId="8" fillId="0" borderId="58" xfId="63" applyNumberFormat="1" applyFont="1" applyFill="1" applyBorder="1" applyAlignment="1" applyProtection="1">
      <alignment vertical="center"/>
      <protection/>
    </xf>
    <xf numFmtId="177" fontId="8" fillId="0" borderId="26" xfId="63" applyNumberFormat="1" applyFont="1" applyFill="1" applyBorder="1" applyAlignment="1" applyProtection="1">
      <alignment vertical="center"/>
      <protection/>
    </xf>
    <xf numFmtId="9" fontId="8" fillId="0" borderId="59" xfId="63" applyNumberFormat="1" applyFont="1" applyFill="1" applyBorder="1" applyAlignment="1" applyProtection="1">
      <alignment vertical="center"/>
      <protection/>
    </xf>
    <xf numFmtId="177" fontId="8" fillId="0" borderId="60" xfId="63" applyNumberFormat="1" applyFont="1" applyFill="1" applyBorder="1" applyAlignment="1" applyProtection="1">
      <alignment vertical="center"/>
      <protection/>
    </xf>
    <xf numFmtId="177" fontId="8" fillId="0" borderId="59" xfId="63" applyNumberFormat="1" applyFont="1" applyFill="1" applyBorder="1" applyAlignment="1" applyProtection="1">
      <alignment vertical="center"/>
      <protection/>
    </xf>
    <xf numFmtId="177" fontId="8" fillId="0" borderId="61" xfId="63" applyNumberFormat="1" applyFont="1" applyFill="1" applyBorder="1" applyAlignment="1" applyProtection="1">
      <alignment vertical="center"/>
      <protection/>
    </xf>
    <xf numFmtId="177" fontId="8" fillId="0" borderId="62" xfId="63" applyNumberFormat="1" applyFont="1" applyFill="1" applyBorder="1" applyAlignment="1" applyProtection="1">
      <alignment vertical="center"/>
      <protection/>
    </xf>
    <xf numFmtId="177" fontId="8" fillId="0" borderId="31" xfId="63" applyNumberFormat="1" applyFont="1" applyFill="1" applyBorder="1" applyAlignment="1" applyProtection="1">
      <alignment vertical="center"/>
      <protection/>
    </xf>
    <xf numFmtId="9" fontId="8" fillId="0" borderId="63" xfId="63" applyNumberFormat="1" applyFont="1" applyFill="1" applyBorder="1" applyAlignment="1" applyProtection="1">
      <alignment vertical="center"/>
      <protection/>
    </xf>
    <xf numFmtId="177" fontId="8" fillId="0" borderId="64" xfId="63" applyNumberFormat="1" applyFont="1" applyFill="1" applyBorder="1" applyAlignment="1" applyProtection="1">
      <alignment vertical="center"/>
      <protection/>
    </xf>
    <xf numFmtId="177" fontId="8" fillId="0" borderId="63" xfId="63" applyNumberFormat="1" applyFont="1" applyFill="1" applyBorder="1" applyAlignment="1" applyProtection="1">
      <alignment vertical="center"/>
      <protection/>
    </xf>
    <xf numFmtId="177" fontId="8" fillId="0" borderId="65" xfId="63" applyNumberFormat="1" applyFont="1" applyFill="1" applyBorder="1" applyAlignment="1" applyProtection="1">
      <alignment vertical="center"/>
      <protection/>
    </xf>
    <xf numFmtId="177" fontId="9" fillId="0" borderId="62" xfId="63" applyNumberFormat="1" applyFont="1" applyFill="1" applyBorder="1" applyAlignment="1" applyProtection="1">
      <alignment vertical="center"/>
      <protection/>
    </xf>
    <xf numFmtId="177" fontId="9" fillId="0" borderId="31" xfId="63" applyNumberFormat="1" applyFont="1" applyFill="1" applyBorder="1" applyAlignment="1" applyProtection="1">
      <alignment vertical="center"/>
      <protection/>
    </xf>
    <xf numFmtId="9" fontId="9" fillId="0" borderId="63" xfId="63" applyNumberFormat="1" applyFont="1" applyFill="1" applyBorder="1" applyAlignment="1" applyProtection="1">
      <alignment vertical="center"/>
      <protection/>
    </xf>
    <xf numFmtId="177" fontId="9" fillId="0" borderId="64" xfId="63" applyNumberFormat="1" applyFont="1" applyFill="1" applyBorder="1" applyAlignment="1" applyProtection="1">
      <alignment vertical="center"/>
      <protection/>
    </xf>
    <xf numFmtId="177" fontId="9" fillId="0" borderId="65" xfId="63" applyNumberFormat="1" applyFont="1" applyFill="1" applyBorder="1" applyAlignment="1" applyProtection="1">
      <alignment vertical="center"/>
      <protection/>
    </xf>
    <xf numFmtId="3" fontId="9" fillId="0" borderId="66" xfId="63" applyNumberFormat="1" applyFont="1" applyFill="1" applyBorder="1" applyAlignment="1">
      <alignment vertical="center" wrapText="1"/>
      <protection/>
    </xf>
    <xf numFmtId="177" fontId="9" fillId="0" borderId="67" xfId="63" applyNumberFormat="1" applyFont="1" applyFill="1" applyBorder="1" applyAlignment="1" applyProtection="1">
      <alignment/>
      <protection/>
    </xf>
    <xf numFmtId="177" fontId="9" fillId="0" borderId="68" xfId="63" applyNumberFormat="1" applyFont="1" applyFill="1" applyBorder="1" applyAlignment="1" applyProtection="1">
      <alignment/>
      <protection/>
    </xf>
    <xf numFmtId="9" fontId="9" fillId="0" borderId="69" xfId="63" applyNumberFormat="1" applyFont="1" applyFill="1" applyBorder="1" applyAlignment="1" applyProtection="1">
      <alignment/>
      <protection/>
    </xf>
    <xf numFmtId="177" fontId="9" fillId="0" borderId="70" xfId="63" applyNumberFormat="1" applyFont="1" applyFill="1" applyBorder="1" applyAlignment="1" applyProtection="1">
      <alignment/>
      <protection/>
    </xf>
    <xf numFmtId="177" fontId="9" fillId="0" borderId="69" xfId="63" applyNumberFormat="1" applyFont="1" applyFill="1" applyBorder="1" applyAlignment="1" applyProtection="1">
      <alignment/>
      <protection/>
    </xf>
    <xf numFmtId="177" fontId="9" fillId="0" borderId="71" xfId="63" applyNumberFormat="1" applyFont="1" applyFill="1" applyBorder="1" applyAlignment="1" applyProtection="1">
      <alignment/>
      <protection/>
    </xf>
    <xf numFmtId="0" fontId="9" fillId="0" borderId="72" xfId="63" applyFont="1" applyFill="1" applyBorder="1" applyAlignment="1">
      <alignment horizontal="right" vertical="center"/>
      <protection/>
    </xf>
    <xf numFmtId="177" fontId="9" fillId="0" borderId="73" xfId="63" applyNumberFormat="1" applyFont="1" applyFill="1" applyBorder="1" applyAlignment="1" applyProtection="1">
      <alignment vertical="center"/>
      <protection/>
    </xf>
    <xf numFmtId="177" fontId="9" fillId="0" borderId="74" xfId="63" applyNumberFormat="1" applyFont="1" applyFill="1" applyBorder="1" applyAlignment="1" applyProtection="1">
      <alignment vertical="center"/>
      <protection/>
    </xf>
    <xf numFmtId="9" fontId="9" fillId="0" borderId="75" xfId="63" applyNumberFormat="1" applyFont="1" applyFill="1" applyBorder="1" applyAlignment="1" applyProtection="1">
      <alignment vertical="center"/>
      <protection/>
    </xf>
    <xf numFmtId="177" fontId="9" fillId="0" borderId="76" xfId="63" applyNumberFormat="1" applyFont="1" applyFill="1" applyBorder="1" applyAlignment="1" applyProtection="1">
      <alignment vertical="center"/>
      <protection/>
    </xf>
    <xf numFmtId="177" fontId="9" fillId="0" borderId="75" xfId="63" applyNumberFormat="1" applyFont="1" applyFill="1" applyBorder="1" applyAlignment="1" applyProtection="1">
      <alignment vertical="center"/>
      <protection/>
    </xf>
    <xf numFmtId="177" fontId="9" fillId="0" borderId="77" xfId="63" applyNumberFormat="1" applyFont="1" applyFill="1" applyBorder="1" applyAlignment="1" applyProtection="1">
      <alignment vertical="center"/>
      <protection/>
    </xf>
    <xf numFmtId="3" fontId="8" fillId="0" borderId="78" xfId="63" applyNumberFormat="1" applyFont="1" applyFill="1" applyBorder="1" applyAlignment="1">
      <alignment horizontal="distributed" vertical="center"/>
      <protection/>
    </xf>
    <xf numFmtId="177" fontId="8" fillId="0" borderId="79" xfId="63" applyNumberFormat="1" applyFont="1" applyFill="1" applyBorder="1" applyAlignment="1">
      <alignment vertical="center"/>
      <protection/>
    </xf>
    <xf numFmtId="177" fontId="8" fillId="0" borderId="80" xfId="63" applyNumberFormat="1" applyFont="1" applyFill="1" applyBorder="1" applyAlignment="1">
      <alignment vertical="center"/>
      <protection/>
    </xf>
    <xf numFmtId="9" fontId="8" fillId="0" borderId="81" xfId="63" applyNumberFormat="1" applyFont="1" applyFill="1" applyBorder="1" applyAlignment="1">
      <alignment vertical="center"/>
      <protection/>
    </xf>
    <xf numFmtId="177" fontId="8" fillId="0" borderId="81" xfId="63" applyNumberFormat="1" applyFont="1" applyFill="1" applyBorder="1" applyAlignment="1">
      <alignment vertical="center"/>
      <protection/>
    </xf>
    <xf numFmtId="177" fontId="8" fillId="0" borderId="82" xfId="63" applyNumberFormat="1" applyFont="1" applyFill="1" applyBorder="1" applyAlignment="1">
      <alignment vertical="center"/>
      <protection/>
    </xf>
    <xf numFmtId="3" fontId="8" fillId="0" borderId="29" xfId="63" applyNumberFormat="1" applyFont="1" applyFill="1" applyBorder="1" applyAlignment="1">
      <alignment horizontal="distributed" vertical="center"/>
      <protection/>
    </xf>
    <xf numFmtId="177" fontId="8" fillId="0" borderId="62" xfId="63" applyNumberFormat="1" applyFont="1" applyFill="1" applyBorder="1" applyAlignment="1">
      <alignment vertical="center"/>
      <protection/>
    </xf>
    <xf numFmtId="9" fontId="8" fillId="0" borderId="63" xfId="63" applyNumberFormat="1" applyFont="1" applyFill="1" applyBorder="1" applyAlignment="1">
      <alignment vertical="center"/>
      <protection/>
    </xf>
    <xf numFmtId="3" fontId="9" fillId="0" borderId="66" xfId="63" applyNumberFormat="1" applyFont="1" applyFill="1" applyBorder="1" applyAlignment="1">
      <alignment/>
      <protection/>
    </xf>
    <xf numFmtId="177" fontId="8" fillId="0" borderId="65" xfId="63" applyNumberFormat="1" applyFont="1" applyFill="1" applyBorder="1" applyAlignment="1">
      <alignment vertical="center"/>
      <protection/>
    </xf>
    <xf numFmtId="177" fontId="8" fillId="0" borderId="83" xfId="63" applyNumberFormat="1" applyFont="1" applyFill="1" applyBorder="1" applyAlignment="1">
      <alignment vertical="center"/>
      <protection/>
    </xf>
    <xf numFmtId="177" fontId="8" fillId="0" borderId="35" xfId="63" applyNumberFormat="1" applyFont="1" applyFill="1" applyBorder="1" applyAlignment="1">
      <alignment vertical="center"/>
      <protection/>
    </xf>
    <xf numFmtId="9" fontId="8" fillId="0" borderId="84" xfId="63" applyNumberFormat="1" applyFont="1" applyFill="1" applyBorder="1" applyAlignment="1">
      <alignment vertical="center"/>
      <protection/>
    </xf>
    <xf numFmtId="177" fontId="8" fillId="0" borderId="85" xfId="63" applyNumberFormat="1" applyFont="1" applyFill="1" applyBorder="1" applyAlignment="1">
      <alignment vertical="center"/>
      <protection/>
    </xf>
    <xf numFmtId="177" fontId="8" fillId="0" borderId="84" xfId="63" applyNumberFormat="1" applyFont="1" applyFill="1" applyBorder="1" applyAlignment="1">
      <alignment vertical="center"/>
      <protection/>
    </xf>
    <xf numFmtId="177" fontId="8" fillId="0" borderId="86" xfId="63" applyNumberFormat="1" applyFont="1" applyFill="1" applyBorder="1" applyAlignment="1">
      <alignment vertical="center"/>
      <protection/>
    </xf>
    <xf numFmtId="9" fontId="8" fillId="0" borderId="87" xfId="63" applyNumberFormat="1" applyFont="1" applyFill="1" applyBorder="1" applyAlignment="1">
      <alignment vertical="center"/>
      <protection/>
    </xf>
    <xf numFmtId="177" fontId="8" fillId="0" borderId="87" xfId="63" applyNumberFormat="1" applyFont="1" applyFill="1" applyBorder="1" applyAlignment="1">
      <alignment vertical="center"/>
      <protection/>
    </xf>
    <xf numFmtId="177" fontId="8" fillId="0" borderId="88" xfId="63" applyNumberFormat="1" applyFont="1" applyFill="1" applyBorder="1" applyAlignment="1">
      <alignment vertical="center"/>
      <protection/>
    </xf>
    <xf numFmtId="3" fontId="9" fillId="0" borderId="89" xfId="63" applyNumberFormat="1" applyFont="1" applyFill="1" applyBorder="1" applyAlignment="1">
      <alignment/>
      <protection/>
    </xf>
    <xf numFmtId="177" fontId="9" fillId="0" borderId="83" xfId="63" applyNumberFormat="1" applyFont="1" applyFill="1" applyBorder="1" applyAlignment="1" applyProtection="1">
      <alignment/>
      <protection/>
    </xf>
    <xf numFmtId="177" fontId="9" fillId="0" borderId="35" xfId="63" applyNumberFormat="1" applyFont="1" applyFill="1" applyBorder="1" applyAlignment="1" applyProtection="1">
      <alignment/>
      <protection/>
    </xf>
    <xf numFmtId="9" fontId="9" fillId="0" borderId="84" xfId="63" applyNumberFormat="1" applyFont="1" applyFill="1" applyBorder="1" applyAlignment="1" applyProtection="1">
      <alignment/>
      <protection/>
    </xf>
    <xf numFmtId="177" fontId="9" fillId="0" borderId="85" xfId="63" applyNumberFormat="1" applyFont="1" applyFill="1" applyBorder="1" applyAlignment="1" applyProtection="1">
      <alignment/>
      <protection/>
    </xf>
    <xf numFmtId="177" fontId="9" fillId="0" borderId="84" xfId="63" applyNumberFormat="1" applyFont="1" applyFill="1" applyBorder="1" applyAlignment="1" applyProtection="1">
      <alignment/>
      <protection/>
    </xf>
    <xf numFmtId="177" fontId="9" fillId="0" borderId="86" xfId="63" applyNumberFormat="1" applyFont="1" applyFill="1" applyBorder="1" applyAlignment="1" applyProtection="1">
      <alignment/>
      <protection/>
    </xf>
    <xf numFmtId="3" fontId="8" fillId="0" borderId="89" xfId="63" applyNumberFormat="1" applyFont="1" applyFill="1" applyBorder="1" applyAlignment="1">
      <alignment horizontal="distributed" vertical="center"/>
      <protection/>
    </xf>
    <xf numFmtId="3" fontId="8" fillId="0" borderId="0" xfId="63" applyNumberFormat="1" applyFont="1" applyAlignment="1">
      <alignment/>
      <protection/>
    </xf>
    <xf numFmtId="179" fontId="18" fillId="0" borderId="0" xfId="62" applyNumberFormat="1" applyFont="1" applyAlignment="1" applyProtection="1">
      <alignment vertical="center"/>
      <protection/>
    </xf>
    <xf numFmtId="179" fontId="12" fillId="0" borderId="0" xfId="62" applyNumberFormat="1" applyFont="1" applyAlignment="1" applyProtection="1">
      <alignment vertical="center"/>
      <protection/>
    </xf>
    <xf numFmtId="179" fontId="12" fillId="0" borderId="0" xfId="62" applyNumberFormat="1" applyFont="1" applyAlignment="1" applyProtection="1">
      <alignment/>
      <protection/>
    </xf>
    <xf numFmtId="38" fontId="12" fillId="0" borderId="0" xfId="48" applyFont="1" applyAlignment="1" applyProtection="1">
      <alignment/>
      <protection/>
    </xf>
    <xf numFmtId="179" fontId="12" fillId="0" borderId="0" xfId="62" applyNumberFormat="1" applyFont="1" applyAlignment="1" applyProtection="1">
      <alignment horizontal="center"/>
      <protection/>
    </xf>
    <xf numFmtId="183" fontId="12" fillId="0" borderId="0" xfId="62" applyNumberFormat="1" applyFont="1" applyAlignment="1" applyProtection="1">
      <alignment/>
      <protection/>
    </xf>
    <xf numFmtId="179" fontId="19" fillId="0" borderId="0" xfId="62" applyNumberFormat="1" applyFont="1" applyAlignment="1" applyProtection="1">
      <alignment vertical="center"/>
      <protection/>
    </xf>
    <xf numFmtId="179" fontId="20" fillId="0" borderId="0" xfId="62" applyNumberFormat="1" applyFont="1" applyAlignment="1" applyProtection="1">
      <alignment/>
      <protection/>
    </xf>
    <xf numFmtId="38" fontId="20" fillId="0" borderId="0" xfId="48" applyFont="1" applyAlignment="1" applyProtection="1">
      <alignment/>
      <protection/>
    </xf>
    <xf numFmtId="179" fontId="20" fillId="0" borderId="0" xfId="62" applyNumberFormat="1" applyFont="1" applyAlignment="1" applyProtection="1">
      <alignment horizontal="center"/>
      <protection/>
    </xf>
    <xf numFmtId="183" fontId="20" fillId="0" borderId="0" xfId="62" applyNumberFormat="1" applyFont="1" applyAlignment="1" applyProtection="1">
      <alignment/>
      <protection/>
    </xf>
    <xf numFmtId="38" fontId="12" fillId="0" borderId="0" xfId="48" applyFont="1" applyAlignment="1" applyProtection="1">
      <alignment vertical="center"/>
      <protection/>
    </xf>
    <xf numFmtId="179" fontId="12" fillId="0" borderId="0" xfId="62" applyNumberFormat="1" applyFont="1" applyAlignment="1" applyProtection="1">
      <alignment horizontal="center" vertical="center"/>
      <protection/>
    </xf>
    <xf numFmtId="183" fontId="12" fillId="0" borderId="0" xfId="62" applyNumberFormat="1" applyFont="1" applyAlignment="1" applyProtection="1">
      <alignment vertical="center"/>
      <protection/>
    </xf>
    <xf numFmtId="179" fontId="8" fillId="0" borderId="0" xfId="62" applyNumberFormat="1" applyFont="1" applyFill="1" applyAlignment="1" applyProtection="1">
      <alignment vertical="center"/>
      <protection/>
    </xf>
    <xf numFmtId="38" fontId="8" fillId="0" borderId="0" xfId="48" applyFont="1" applyFill="1" applyAlignment="1" applyProtection="1">
      <alignment vertical="center"/>
      <protection/>
    </xf>
    <xf numFmtId="179" fontId="8" fillId="0" borderId="0" xfId="62" applyNumberFormat="1" applyFont="1" applyFill="1" applyAlignment="1" applyProtection="1">
      <alignment horizontal="center" vertical="center"/>
      <protection/>
    </xf>
    <xf numFmtId="183" fontId="8" fillId="0" borderId="0" xfId="62" applyNumberFormat="1" applyFont="1" applyFill="1" applyAlignment="1" applyProtection="1">
      <alignment vertical="center"/>
      <protection/>
    </xf>
    <xf numFmtId="179" fontId="8" fillId="0" borderId="67" xfId="62" applyNumberFormat="1" applyFont="1" applyFill="1" applyBorder="1" applyAlignment="1" applyProtection="1">
      <alignment vertical="center"/>
      <protection/>
    </xf>
    <xf numFmtId="179" fontId="8" fillId="0" borderId="90" xfId="62" applyNumberFormat="1" applyFont="1" applyFill="1" applyBorder="1" applyAlignment="1" applyProtection="1">
      <alignment vertical="center"/>
      <protection/>
    </xf>
    <xf numFmtId="38" fontId="8" fillId="0" borderId="90" xfId="48" applyFont="1" applyFill="1" applyBorder="1" applyAlignment="1" applyProtection="1">
      <alignment vertical="center"/>
      <protection/>
    </xf>
    <xf numFmtId="38" fontId="8" fillId="0" borderId="91" xfId="48" applyFont="1" applyFill="1" applyBorder="1" applyAlignment="1" applyProtection="1">
      <alignment vertical="center"/>
      <protection/>
    </xf>
    <xf numFmtId="179" fontId="8" fillId="0" borderId="66" xfId="62" applyNumberFormat="1" applyFont="1" applyFill="1" applyBorder="1" applyAlignment="1" applyProtection="1">
      <alignment horizontal="center" vertical="center"/>
      <protection/>
    </xf>
    <xf numFmtId="179" fontId="8" fillId="0" borderId="92" xfId="62" applyNumberFormat="1" applyFont="1" applyFill="1" applyBorder="1" applyAlignment="1" applyProtection="1">
      <alignment horizontal="center" vertical="center"/>
      <protection/>
    </xf>
    <xf numFmtId="179" fontId="8" fillId="0" borderId="93" xfId="62" applyNumberFormat="1" applyFont="1" applyFill="1" applyBorder="1" applyAlignment="1" applyProtection="1">
      <alignment horizontal="center" vertical="center"/>
      <protection/>
    </xf>
    <xf numFmtId="179" fontId="8" fillId="0" borderId="94" xfId="62" applyNumberFormat="1" applyFont="1" applyFill="1" applyBorder="1" applyAlignment="1" applyProtection="1">
      <alignment horizontal="center" vertical="center"/>
      <protection/>
    </xf>
    <xf numFmtId="179" fontId="8" fillId="0" borderId="95" xfId="62" applyNumberFormat="1" applyFont="1" applyFill="1" applyBorder="1" applyAlignment="1" applyProtection="1">
      <alignment horizontal="center" vertical="center"/>
      <protection/>
    </xf>
    <xf numFmtId="38" fontId="8" fillId="0" borderId="95" xfId="48" applyFont="1" applyFill="1" applyBorder="1" applyAlignment="1" applyProtection="1">
      <alignment horizontal="center" vertical="center"/>
      <protection/>
    </xf>
    <xf numFmtId="38" fontId="8" fillId="0" borderId="96" xfId="48" applyFont="1" applyFill="1" applyBorder="1" applyAlignment="1" applyProtection="1">
      <alignment horizontal="center" vertical="center"/>
      <protection/>
    </xf>
    <xf numFmtId="179" fontId="8" fillId="0" borderId="97" xfId="62" applyNumberFormat="1" applyFont="1" applyFill="1" applyBorder="1" applyAlignment="1" applyProtection="1">
      <alignment horizontal="center" vertical="center"/>
      <protection/>
    </xf>
    <xf numFmtId="183" fontId="8" fillId="0" borderId="0" xfId="62" applyNumberFormat="1" applyFont="1" applyFill="1" applyAlignment="1" applyProtection="1">
      <alignment horizontal="center" vertical="center"/>
      <protection/>
    </xf>
    <xf numFmtId="184" fontId="8" fillId="0" borderId="92" xfId="62" applyNumberFormat="1" applyFont="1" applyFill="1" applyBorder="1" applyAlignment="1" applyProtection="1">
      <alignment vertical="center"/>
      <protection/>
    </xf>
    <xf numFmtId="184" fontId="8" fillId="0" borderId="92" xfId="62" applyNumberFormat="1" applyFont="1" applyFill="1" applyBorder="1" applyAlignment="1" applyProtection="1">
      <alignment horizontal="right" vertical="center"/>
      <protection/>
    </xf>
    <xf numFmtId="184" fontId="8" fillId="0" borderId="98" xfId="62" applyNumberFormat="1" applyFont="1" applyFill="1" applyBorder="1" applyAlignment="1" applyProtection="1">
      <alignment vertical="center"/>
      <protection/>
    </xf>
    <xf numFmtId="38" fontId="8" fillId="0" borderId="92" xfId="48" applyFont="1" applyFill="1" applyBorder="1" applyAlignment="1" applyProtection="1">
      <alignment vertical="center"/>
      <protection/>
    </xf>
    <xf numFmtId="38" fontId="8" fillId="0" borderId="99" xfId="48" applyFont="1" applyFill="1" applyBorder="1" applyAlignment="1" applyProtection="1">
      <alignment vertical="center"/>
      <protection/>
    </xf>
    <xf numFmtId="184" fontId="9" fillId="0" borderId="92" xfId="62" applyNumberFormat="1" applyFont="1" applyFill="1" applyBorder="1" applyAlignment="1" applyProtection="1">
      <alignment vertical="center"/>
      <protection/>
    </xf>
    <xf numFmtId="184" fontId="9" fillId="0" borderId="98" xfId="62" applyNumberFormat="1" applyFont="1" applyFill="1" applyBorder="1" applyAlignment="1" applyProtection="1">
      <alignment vertical="center"/>
      <protection locked="0"/>
    </xf>
    <xf numFmtId="38" fontId="9" fillId="0" borderId="92" xfId="48" applyFont="1" applyFill="1" applyBorder="1" applyAlignment="1" applyProtection="1">
      <alignment vertical="center"/>
      <protection/>
    </xf>
    <xf numFmtId="38" fontId="9" fillId="0" borderId="99" xfId="48" applyFont="1" applyFill="1" applyBorder="1" applyAlignment="1" applyProtection="1">
      <alignment vertical="center"/>
      <protection/>
    </xf>
    <xf numFmtId="183" fontId="21" fillId="0" borderId="0" xfId="62" applyNumberFormat="1" applyFont="1" applyFill="1" applyAlignment="1" applyProtection="1">
      <alignment vertical="center"/>
      <protection/>
    </xf>
    <xf numFmtId="179" fontId="21" fillId="0" borderId="0" xfId="62" applyNumberFormat="1" applyFont="1" applyFill="1" applyAlignment="1" applyProtection="1">
      <alignment vertical="center"/>
      <protection/>
    </xf>
    <xf numFmtId="179" fontId="8" fillId="0" borderId="0" xfId="62" applyNumberFormat="1" applyFont="1" applyFill="1" applyBorder="1" applyAlignment="1" applyProtection="1">
      <alignment vertical="center"/>
      <protection/>
    </xf>
    <xf numFmtId="179" fontId="8" fillId="0" borderId="100" xfId="62" applyNumberFormat="1" applyFont="1" applyFill="1" applyBorder="1" applyAlignment="1" applyProtection="1">
      <alignment vertical="center"/>
      <protection/>
    </xf>
    <xf numFmtId="179" fontId="20" fillId="0" borderId="0" xfId="62" applyNumberFormat="1" applyFont="1" applyFill="1" applyAlignment="1" applyProtection="1">
      <alignment/>
      <protection/>
    </xf>
    <xf numFmtId="38" fontId="20" fillId="0" borderId="0" xfId="48" applyFont="1" applyFill="1" applyAlignment="1" applyProtection="1">
      <alignment/>
      <protection/>
    </xf>
    <xf numFmtId="179" fontId="20" fillId="0" borderId="0" xfId="62" applyNumberFormat="1" applyFont="1" applyFill="1" applyAlignment="1" applyProtection="1">
      <alignment horizontal="center"/>
      <protection/>
    </xf>
    <xf numFmtId="183" fontId="20" fillId="0" borderId="0" xfId="62" applyNumberFormat="1" applyFont="1" applyFill="1" applyAlignment="1" applyProtection="1">
      <alignment/>
      <protection/>
    </xf>
    <xf numFmtId="179" fontId="22" fillId="0" borderId="0" xfId="63" applyNumberFormat="1" applyFont="1" applyAlignment="1">
      <alignment vertical="center"/>
      <protection/>
    </xf>
    <xf numFmtId="179" fontId="12" fillId="0" borderId="0" xfId="63" applyNumberFormat="1" applyFont="1" applyAlignment="1">
      <alignment vertical="center"/>
      <protection/>
    </xf>
    <xf numFmtId="179" fontId="16" fillId="0" borderId="0" xfId="63" applyNumberFormat="1" applyFont="1" applyAlignment="1">
      <alignment vertical="center"/>
      <protection/>
    </xf>
    <xf numFmtId="179" fontId="16" fillId="0" borderId="0" xfId="63" applyNumberFormat="1" applyFont="1" applyAlignment="1">
      <alignment horizontal="right" vertical="center"/>
      <protection/>
    </xf>
    <xf numFmtId="179" fontId="16" fillId="0" borderId="66" xfId="63" applyNumberFormat="1" applyFont="1" applyFill="1" applyBorder="1" applyAlignment="1">
      <alignment horizontal="center" vertical="center"/>
      <protection/>
    </xf>
    <xf numFmtId="179" fontId="16" fillId="0" borderId="0" xfId="63" applyNumberFormat="1" applyFont="1" applyFill="1" applyAlignment="1">
      <alignment vertical="center"/>
      <protection/>
    </xf>
    <xf numFmtId="179" fontId="16" fillId="0" borderId="93" xfId="63" applyNumberFormat="1" applyFont="1" applyFill="1" applyBorder="1" applyAlignment="1">
      <alignment horizontal="center" vertical="center"/>
      <protection/>
    </xf>
    <xf numFmtId="179" fontId="16" fillId="0" borderId="95" xfId="63" applyNumberFormat="1" applyFont="1" applyFill="1" applyBorder="1" applyAlignment="1">
      <alignment horizontal="center" vertical="center"/>
      <protection/>
    </xf>
    <xf numFmtId="179" fontId="16" fillId="0" borderId="96" xfId="63" applyNumberFormat="1" applyFont="1" applyFill="1" applyBorder="1" applyAlignment="1">
      <alignment horizontal="center" vertical="center"/>
      <protection/>
    </xf>
    <xf numFmtId="179" fontId="16" fillId="0" borderId="97" xfId="63" applyNumberFormat="1" applyFont="1" applyFill="1" applyBorder="1" applyAlignment="1">
      <alignment horizontal="center" vertical="center"/>
      <protection/>
    </xf>
    <xf numFmtId="179" fontId="16" fillId="0" borderId="0" xfId="63" applyNumberFormat="1" applyFont="1" applyFill="1" applyAlignment="1">
      <alignment horizontal="center" vertical="center"/>
      <protection/>
    </xf>
    <xf numFmtId="184" fontId="16" fillId="0" borderId="98" xfId="63" applyNumberFormat="1" applyFont="1" applyFill="1" applyBorder="1" applyAlignment="1" applyProtection="1">
      <alignment vertical="center"/>
      <protection/>
    </xf>
    <xf numFmtId="184" fontId="16" fillId="0" borderId="92" xfId="63" applyNumberFormat="1" applyFont="1" applyFill="1" applyBorder="1" applyAlignment="1" applyProtection="1">
      <alignment vertical="center"/>
      <protection/>
    </xf>
    <xf numFmtId="184" fontId="16" fillId="0" borderId="99" xfId="63" applyNumberFormat="1" applyFont="1" applyFill="1" applyBorder="1" applyAlignment="1" applyProtection="1">
      <alignment vertical="center"/>
      <protection/>
    </xf>
    <xf numFmtId="184" fontId="24" fillId="0" borderId="98" xfId="63" applyNumberFormat="1" applyFont="1" applyFill="1" applyBorder="1" applyAlignment="1" applyProtection="1">
      <alignment vertical="center"/>
      <protection/>
    </xf>
    <xf numFmtId="184" fontId="24" fillId="0" borderId="92" xfId="63" applyNumberFormat="1" applyFont="1" applyFill="1" applyBorder="1" applyAlignment="1" applyProtection="1">
      <alignment vertical="center"/>
      <protection/>
    </xf>
    <xf numFmtId="184" fontId="24" fillId="0" borderId="99" xfId="63" applyNumberFormat="1" applyFont="1" applyFill="1" applyBorder="1" applyAlignment="1" applyProtection="1">
      <alignment vertical="center"/>
      <protection/>
    </xf>
    <xf numFmtId="179" fontId="24" fillId="0" borderId="97" xfId="63" applyNumberFormat="1" applyFont="1" applyFill="1" applyBorder="1" applyAlignment="1">
      <alignment horizontal="center" vertical="center"/>
      <protection/>
    </xf>
    <xf numFmtId="184" fontId="24" fillId="0" borderId="101" xfId="63" applyNumberFormat="1" applyFont="1" applyFill="1" applyBorder="1" applyAlignment="1" applyProtection="1">
      <alignment/>
      <protection/>
    </xf>
    <xf numFmtId="184" fontId="24" fillId="0" borderId="102" xfId="63" applyNumberFormat="1" applyFont="1" applyFill="1" applyBorder="1" applyAlignment="1" applyProtection="1">
      <alignment/>
      <protection/>
    </xf>
    <xf numFmtId="184" fontId="24" fillId="0" borderId="103" xfId="63" applyNumberFormat="1" applyFont="1" applyFill="1" applyBorder="1" applyAlignment="1" applyProtection="1">
      <alignment/>
      <protection/>
    </xf>
    <xf numFmtId="184" fontId="24" fillId="0" borderId="67" xfId="63" applyNumberFormat="1" applyFont="1" applyFill="1" applyBorder="1" applyAlignment="1" applyProtection="1">
      <alignment/>
      <protection/>
    </xf>
    <xf numFmtId="184" fontId="24" fillId="0" borderId="104" xfId="63" applyNumberFormat="1" applyFont="1" applyFill="1" applyBorder="1" applyAlignment="1" applyProtection="1">
      <alignment/>
      <protection/>
    </xf>
    <xf numFmtId="179" fontId="26" fillId="0" borderId="0" xfId="63" applyNumberFormat="1" applyFont="1" applyFill="1" applyAlignment="1">
      <alignment horizontal="center" vertical="center"/>
      <protection/>
    </xf>
    <xf numFmtId="184" fontId="24" fillId="0" borderId="105" xfId="63" applyNumberFormat="1" applyFont="1" applyFill="1" applyBorder="1" applyAlignment="1" applyProtection="1">
      <alignment vertical="center"/>
      <protection/>
    </xf>
    <xf numFmtId="179" fontId="16" fillId="0" borderId="0" xfId="63" applyNumberFormat="1" applyFont="1" applyFill="1" applyBorder="1" applyAlignment="1">
      <alignment vertical="center"/>
      <protection/>
    </xf>
    <xf numFmtId="184" fontId="16" fillId="0" borderId="92" xfId="63" applyNumberFormat="1" applyFont="1" applyFill="1" applyBorder="1" applyAlignment="1">
      <alignment vertical="center"/>
      <protection/>
    </xf>
    <xf numFmtId="184" fontId="16" fillId="0" borderId="106" xfId="63" applyNumberFormat="1" applyFont="1" applyFill="1" applyBorder="1" applyAlignment="1" applyProtection="1">
      <alignment vertical="center"/>
      <protection/>
    </xf>
    <xf numFmtId="184" fontId="24" fillId="0" borderId="98" xfId="63" applyNumberFormat="1" applyFont="1" applyFill="1" applyBorder="1" applyAlignment="1" applyProtection="1">
      <alignment/>
      <protection/>
    </xf>
    <xf numFmtId="184" fontId="16" fillId="0" borderId="99" xfId="63" applyNumberFormat="1" applyFont="1" applyFill="1" applyBorder="1" applyAlignment="1">
      <alignment vertical="center"/>
      <protection/>
    </xf>
    <xf numFmtId="179" fontId="16" fillId="0" borderId="100" xfId="63" applyNumberFormat="1" applyFont="1" applyFill="1" applyBorder="1" applyAlignment="1">
      <alignment vertical="center"/>
      <protection/>
    </xf>
    <xf numFmtId="179" fontId="16" fillId="0" borderId="100" xfId="63" applyNumberFormat="1" applyFont="1" applyFill="1" applyBorder="1" applyAlignment="1">
      <alignment horizontal="center" vertical="center"/>
      <protection/>
    </xf>
    <xf numFmtId="184" fontId="16" fillId="0" borderId="92" xfId="63" applyNumberFormat="1" applyFont="1" applyFill="1" applyBorder="1" applyAlignment="1" applyProtection="1">
      <alignment horizontal="right" vertical="center"/>
      <protection/>
    </xf>
    <xf numFmtId="179" fontId="16" fillId="0" borderId="92" xfId="63" applyNumberFormat="1" applyFont="1" applyFill="1" applyBorder="1" applyAlignment="1" applyProtection="1">
      <alignment horizontal="right" vertical="center"/>
      <protection/>
    </xf>
    <xf numFmtId="179" fontId="24" fillId="0" borderId="92" xfId="63" applyNumberFormat="1" applyFont="1" applyFill="1" applyBorder="1" applyAlignment="1" applyProtection="1">
      <alignment horizontal="right" vertical="center"/>
      <protection/>
    </xf>
    <xf numFmtId="180" fontId="24" fillId="0" borderId="67" xfId="63" applyNumberFormat="1" applyFont="1" applyFill="1" applyBorder="1" applyAlignment="1" applyProtection="1">
      <alignment/>
      <protection/>
    </xf>
    <xf numFmtId="180" fontId="24" fillId="0" borderId="92" xfId="63" applyNumberFormat="1" applyFont="1" applyFill="1" applyBorder="1" applyAlignment="1" applyProtection="1">
      <alignment vertical="center"/>
      <protection/>
    </xf>
    <xf numFmtId="180" fontId="16" fillId="0" borderId="92" xfId="63" applyNumberFormat="1" applyFont="1" applyFill="1" applyBorder="1" applyAlignment="1">
      <alignment vertical="center"/>
      <protection/>
    </xf>
    <xf numFmtId="184" fontId="16" fillId="0" borderId="94" xfId="63" applyNumberFormat="1" applyFont="1" applyFill="1" applyBorder="1" applyAlignment="1">
      <alignment vertical="center"/>
      <protection/>
    </xf>
    <xf numFmtId="179" fontId="12" fillId="0" borderId="0" xfId="63" applyNumberFormat="1" applyFont="1" applyAlignment="1">
      <alignment/>
      <protection/>
    </xf>
    <xf numFmtId="179" fontId="28" fillId="0" borderId="0" xfId="63" applyNumberFormat="1" applyFont="1" applyAlignment="1">
      <alignment horizontal="center" vertical="center"/>
      <protection/>
    </xf>
    <xf numFmtId="0" fontId="12" fillId="0" borderId="0" xfId="63" applyFont="1" applyAlignment="1">
      <alignment/>
      <protection/>
    </xf>
    <xf numFmtId="179" fontId="28" fillId="0" borderId="0" xfId="63" applyNumberFormat="1" applyFont="1" applyAlignment="1">
      <alignment/>
      <protection/>
    </xf>
    <xf numFmtId="179" fontId="28" fillId="0" borderId="0" xfId="63" applyNumberFormat="1" applyFont="1" applyFill="1" applyAlignment="1">
      <alignment/>
      <protection/>
    </xf>
    <xf numFmtId="179" fontId="8" fillId="0" borderId="0" xfId="63" applyNumberFormat="1" applyFont="1" applyAlignment="1">
      <alignment horizontal="center" vertical="center"/>
      <protection/>
    </xf>
    <xf numFmtId="0" fontId="28" fillId="0" borderId="0" xfId="63" applyFont="1" applyAlignment="1">
      <alignment/>
      <protection/>
    </xf>
    <xf numFmtId="179" fontId="8" fillId="0" borderId="90" xfId="63" applyNumberFormat="1" applyFont="1" applyFill="1" applyBorder="1" applyAlignment="1">
      <alignment horizontal="center" vertical="center"/>
      <protection/>
    </xf>
    <xf numFmtId="179" fontId="8" fillId="0" borderId="66" xfId="63" applyNumberFormat="1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center" vertical="center"/>
      <protection/>
    </xf>
    <xf numFmtId="179" fontId="8" fillId="0" borderId="0" xfId="63" applyNumberFormat="1" applyFont="1" applyFill="1" applyBorder="1" applyAlignment="1">
      <alignment horizontal="center" vertical="center"/>
      <protection/>
    </xf>
    <xf numFmtId="179" fontId="8" fillId="0" borderId="93" xfId="63" applyNumberFormat="1" applyFont="1" applyFill="1" applyBorder="1" applyAlignment="1">
      <alignment horizontal="center" vertical="center"/>
      <protection/>
    </xf>
    <xf numFmtId="179" fontId="8" fillId="0" borderId="95" xfId="63" applyNumberFormat="1" applyFont="1" applyFill="1" applyBorder="1" applyAlignment="1">
      <alignment horizontal="center" vertical="center"/>
      <protection/>
    </xf>
    <xf numFmtId="179" fontId="8" fillId="0" borderId="107" xfId="63" applyNumberFormat="1" applyFont="1" applyFill="1" applyBorder="1" applyAlignment="1">
      <alignment horizontal="center" vertical="center"/>
      <protection/>
    </xf>
    <xf numFmtId="179" fontId="8" fillId="0" borderId="108" xfId="63" applyNumberFormat="1" applyFont="1" applyFill="1" applyBorder="1" applyAlignment="1">
      <alignment horizontal="center" vertical="center"/>
      <protection/>
    </xf>
    <xf numFmtId="179" fontId="8" fillId="0" borderId="100" xfId="63" applyNumberFormat="1" applyFont="1" applyFill="1" applyBorder="1" applyAlignment="1">
      <alignment horizontal="center" vertical="center"/>
      <protection/>
    </xf>
    <xf numFmtId="179" fontId="8" fillId="0" borderId="96" xfId="63" applyNumberFormat="1" applyFont="1" applyFill="1" applyBorder="1" applyAlignment="1">
      <alignment horizontal="center" vertical="center" shrinkToFit="1"/>
      <protection/>
    </xf>
    <xf numFmtId="179" fontId="8" fillId="0" borderId="97" xfId="63" applyNumberFormat="1" applyFont="1" applyFill="1" applyBorder="1" applyAlignment="1">
      <alignment horizontal="center" vertical="center"/>
      <protection/>
    </xf>
    <xf numFmtId="184" fontId="8" fillId="0" borderId="109" xfId="63" applyNumberFormat="1" applyFont="1" applyFill="1" applyBorder="1" applyAlignment="1" applyProtection="1">
      <alignment vertical="center"/>
      <protection/>
    </xf>
    <xf numFmtId="184" fontId="8" fillId="0" borderId="92" xfId="63" applyNumberFormat="1" applyFont="1" applyFill="1" applyBorder="1" applyAlignment="1" applyProtection="1">
      <alignment vertical="center"/>
      <protection/>
    </xf>
    <xf numFmtId="184" fontId="8" fillId="0" borderId="92" xfId="63" applyNumberFormat="1" applyFont="1" applyFill="1" applyBorder="1" applyAlignment="1" applyProtection="1">
      <alignment horizontal="right" vertical="center"/>
      <protection/>
    </xf>
    <xf numFmtId="184" fontId="8" fillId="0" borderId="98" xfId="63" applyNumberFormat="1" applyFont="1" applyFill="1" applyBorder="1" applyAlignment="1" applyProtection="1">
      <alignment horizontal="right" vertical="center"/>
      <protection/>
    </xf>
    <xf numFmtId="184" fontId="8" fillId="0" borderId="0" xfId="63" applyNumberFormat="1" applyFont="1" applyFill="1" applyBorder="1" applyAlignment="1" applyProtection="1">
      <alignment horizontal="right" vertical="center"/>
      <protection/>
    </xf>
    <xf numFmtId="179" fontId="8" fillId="0" borderId="0" xfId="63" applyNumberFormat="1" applyFont="1" applyFill="1" applyAlignment="1">
      <alignment horizontal="center" vertical="center"/>
      <protection/>
    </xf>
    <xf numFmtId="184" fontId="8" fillId="0" borderId="98" xfId="63" applyNumberFormat="1" applyFont="1" applyFill="1" applyBorder="1" applyAlignment="1" applyProtection="1">
      <alignment vertical="center"/>
      <protection/>
    </xf>
    <xf numFmtId="184" fontId="8" fillId="0" borderId="0" xfId="63" applyNumberFormat="1" applyFont="1" applyFill="1" applyBorder="1" applyAlignment="1" applyProtection="1">
      <alignment vertical="center"/>
      <protection/>
    </xf>
    <xf numFmtId="184" fontId="8" fillId="0" borderId="99" xfId="63" applyNumberFormat="1" applyFont="1" applyFill="1" applyBorder="1" applyAlignment="1" applyProtection="1">
      <alignment vertical="center"/>
      <protection/>
    </xf>
    <xf numFmtId="0" fontId="8" fillId="0" borderId="0" xfId="63" applyFont="1" applyAlignment="1">
      <alignment vertical="center"/>
      <protection/>
    </xf>
    <xf numFmtId="184" fontId="9" fillId="0" borderId="109" xfId="63" applyNumberFormat="1" applyFont="1" applyFill="1" applyBorder="1" applyAlignment="1" applyProtection="1">
      <alignment vertical="center"/>
      <protection/>
    </xf>
    <xf numFmtId="184" fontId="9" fillId="0" borderId="92" xfId="63" applyNumberFormat="1" applyFont="1" applyFill="1" applyBorder="1" applyAlignment="1" applyProtection="1">
      <alignment vertical="center"/>
      <protection/>
    </xf>
    <xf numFmtId="184" fontId="9" fillId="0" borderId="98" xfId="63" applyNumberFormat="1" applyFont="1" applyFill="1" applyBorder="1" applyAlignment="1" applyProtection="1">
      <alignment vertical="center"/>
      <protection/>
    </xf>
    <xf numFmtId="184" fontId="9" fillId="0" borderId="0" xfId="63" applyNumberFormat="1" applyFont="1" applyFill="1" applyBorder="1" applyAlignment="1" applyProtection="1">
      <alignment vertical="center"/>
      <protection/>
    </xf>
    <xf numFmtId="184" fontId="9" fillId="0" borderId="105" xfId="63" applyNumberFormat="1" applyFont="1" applyFill="1" applyBorder="1" applyAlignment="1" applyProtection="1">
      <alignment vertical="center"/>
      <protection/>
    </xf>
    <xf numFmtId="179" fontId="9" fillId="0" borderId="100" xfId="63" applyNumberFormat="1" applyFont="1" applyFill="1" applyBorder="1" applyAlignment="1">
      <alignment horizontal="center" vertical="center"/>
      <protection/>
    </xf>
    <xf numFmtId="184" fontId="9" fillId="0" borderId="99" xfId="63" applyNumberFormat="1" applyFont="1" applyFill="1" applyBorder="1" applyAlignment="1" applyProtection="1">
      <alignment vertical="center"/>
      <protection/>
    </xf>
    <xf numFmtId="179" fontId="9" fillId="0" borderId="97" xfId="63" applyNumberFormat="1" applyFont="1" applyFill="1" applyBorder="1" applyAlignment="1">
      <alignment horizontal="center" vertical="center"/>
      <protection/>
    </xf>
    <xf numFmtId="0" fontId="21" fillId="0" borderId="0" xfId="63" applyFont="1" applyAlignment="1">
      <alignment vertical="center"/>
      <protection/>
    </xf>
    <xf numFmtId="184" fontId="9" fillId="0" borderId="110" xfId="63" applyNumberFormat="1" applyFont="1" applyFill="1" applyBorder="1" applyAlignment="1" applyProtection="1">
      <alignment/>
      <protection/>
    </xf>
    <xf numFmtId="184" fontId="9" fillId="0" borderId="67" xfId="63" applyNumberFormat="1" applyFont="1" applyFill="1" applyBorder="1" applyAlignment="1" applyProtection="1">
      <alignment/>
      <protection/>
    </xf>
    <xf numFmtId="184" fontId="9" fillId="0" borderId="102" xfId="63" applyNumberFormat="1" applyFont="1" applyFill="1" applyBorder="1" applyAlignment="1" applyProtection="1">
      <alignment/>
      <protection/>
    </xf>
    <xf numFmtId="184" fontId="9" fillId="0" borderId="90" xfId="63" applyNumberFormat="1" applyFont="1" applyFill="1" applyBorder="1" applyAlignment="1" applyProtection="1">
      <alignment/>
      <protection/>
    </xf>
    <xf numFmtId="179" fontId="29" fillId="0" borderId="0" xfId="63" applyNumberFormat="1" applyFont="1" applyFill="1" applyAlignment="1">
      <alignment horizontal="center" vertical="center"/>
      <protection/>
    </xf>
    <xf numFmtId="184" fontId="9" fillId="0" borderId="104" xfId="63" applyNumberFormat="1" applyFont="1" applyFill="1" applyBorder="1" applyAlignment="1" applyProtection="1">
      <alignment/>
      <protection/>
    </xf>
    <xf numFmtId="3" fontId="21" fillId="0" borderId="0" xfId="63" applyNumberFormat="1" applyFont="1" applyAlignment="1">
      <alignment vertical="center"/>
      <protection/>
    </xf>
    <xf numFmtId="184" fontId="8" fillId="0" borderId="92" xfId="63" applyNumberFormat="1" applyFont="1" applyFill="1" applyBorder="1" applyAlignment="1">
      <alignment vertical="center"/>
      <protection/>
    </xf>
    <xf numFmtId="184" fontId="9" fillId="0" borderId="111" xfId="63" applyNumberFormat="1" applyFont="1" applyFill="1" applyBorder="1" applyAlignment="1" applyProtection="1">
      <alignment/>
      <protection/>
    </xf>
    <xf numFmtId="184" fontId="9" fillId="0" borderId="112" xfId="63" applyNumberFormat="1" applyFont="1" applyFill="1" applyBorder="1" applyAlignment="1" applyProtection="1">
      <alignment/>
      <protection/>
    </xf>
    <xf numFmtId="184" fontId="9" fillId="0" borderId="113" xfId="63" applyNumberFormat="1" applyFont="1" applyFill="1" applyBorder="1" applyAlignment="1" applyProtection="1">
      <alignment/>
      <protection/>
    </xf>
    <xf numFmtId="184" fontId="9" fillId="0" borderId="114" xfId="63" applyNumberFormat="1" applyFont="1" applyFill="1" applyBorder="1" applyAlignment="1" applyProtection="1">
      <alignment/>
      <protection/>
    </xf>
    <xf numFmtId="177" fontId="29" fillId="0" borderId="90" xfId="63" applyNumberFormat="1" applyFont="1" applyFill="1" applyBorder="1" applyAlignment="1">
      <alignment horizontal="center" vertical="center"/>
      <protection/>
    </xf>
    <xf numFmtId="177" fontId="29" fillId="0" borderId="0" xfId="63" applyNumberFormat="1" applyFont="1" applyFill="1" applyBorder="1" applyAlignment="1">
      <alignment horizontal="center" vertical="center"/>
      <protection/>
    </xf>
    <xf numFmtId="184" fontId="8" fillId="0" borderId="99" xfId="63" applyNumberFormat="1" applyFont="1" applyFill="1" applyBorder="1" applyAlignment="1">
      <alignment vertical="center"/>
      <protection/>
    </xf>
    <xf numFmtId="184" fontId="9" fillId="0" borderId="110" xfId="63" applyNumberFormat="1" applyFont="1" applyFill="1" applyBorder="1" applyAlignment="1" applyProtection="1">
      <alignment wrapText="1"/>
      <protection/>
    </xf>
    <xf numFmtId="184" fontId="9" fillId="0" borderId="67" xfId="63" applyNumberFormat="1" applyFont="1" applyFill="1" applyBorder="1" applyAlignment="1" applyProtection="1">
      <alignment wrapText="1"/>
      <protection/>
    </xf>
    <xf numFmtId="184" fontId="9" fillId="0" borderId="102" xfId="63" applyNumberFormat="1" applyFont="1" applyFill="1" applyBorder="1" applyAlignment="1" applyProtection="1">
      <alignment wrapText="1"/>
      <protection/>
    </xf>
    <xf numFmtId="184" fontId="9" fillId="0" borderId="90" xfId="63" applyNumberFormat="1" applyFont="1" applyFill="1" applyBorder="1" applyAlignment="1" applyProtection="1">
      <alignment wrapText="1"/>
      <protection/>
    </xf>
    <xf numFmtId="179" fontId="21" fillId="0" borderId="0" xfId="63" applyNumberFormat="1" applyFont="1" applyFill="1" applyAlignment="1">
      <alignment horizontal="center" vertical="center"/>
      <protection/>
    </xf>
    <xf numFmtId="184" fontId="9" fillId="0" borderId="101" xfId="63" applyNumberFormat="1" applyFont="1" applyFill="1" applyBorder="1" applyAlignment="1" applyProtection="1">
      <alignment/>
      <protection/>
    </xf>
    <xf numFmtId="184" fontId="9" fillId="0" borderId="71" xfId="63" applyNumberFormat="1" applyFont="1" applyFill="1" applyBorder="1" applyAlignment="1" applyProtection="1">
      <alignment wrapText="1"/>
      <protection/>
    </xf>
    <xf numFmtId="0" fontId="8" fillId="0" borderId="0" xfId="63" applyFont="1" applyBorder="1" applyAlignment="1">
      <alignment vertical="center"/>
      <protection/>
    </xf>
    <xf numFmtId="179" fontId="21" fillId="0" borderId="90" xfId="63" applyNumberFormat="1" applyFont="1" applyFill="1" applyBorder="1" applyAlignment="1">
      <alignment horizontal="center" vertical="center"/>
      <protection/>
    </xf>
    <xf numFmtId="179" fontId="21" fillId="0" borderId="0" xfId="63" applyNumberFormat="1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/>
      <protection/>
    </xf>
    <xf numFmtId="0" fontId="8" fillId="0" borderId="0" xfId="63" applyFont="1" applyAlignment="1">
      <alignment/>
      <protection/>
    </xf>
    <xf numFmtId="0" fontId="8" fillId="0" borderId="0" xfId="63" applyFont="1" applyBorder="1">
      <alignment/>
      <protection/>
    </xf>
    <xf numFmtId="184" fontId="9" fillId="0" borderId="115" xfId="63" applyNumberFormat="1" applyFont="1" applyFill="1" applyBorder="1" applyAlignment="1" applyProtection="1">
      <alignment vertical="center"/>
      <protection/>
    </xf>
    <xf numFmtId="179" fontId="8" fillId="0" borderId="96" xfId="63" applyNumberFormat="1" applyFont="1" applyFill="1" applyBorder="1" applyAlignment="1">
      <alignment horizontal="center" vertical="center"/>
      <protection/>
    </xf>
    <xf numFmtId="184" fontId="8" fillId="0" borderId="99" xfId="63" applyNumberFormat="1" applyFont="1" applyFill="1" applyBorder="1" applyAlignment="1" applyProtection="1">
      <alignment horizontal="right" vertical="center"/>
      <protection/>
    </xf>
    <xf numFmtId="184" fontId="9" fillId="0" borderId="71" xfId="63" applyNumberFormat="1" applyFont="1" applyFill="1" applyBorder="1" applyAlignment="1" applyProtection="1">
      <alignment/>
      <protection/>
    </xf>
    <xf numFmtId="184" fontId="9" fillId="0" borderId="116" xfId="63" applyNumberFormat="1" applyFont="1" applyFill="1" applyBorder="1" applyAlignment="1" applyProtection="1">
      <alignment/>
      <protection/>
    </xf>
    <xf numFmtId="184" fontId="30" fillId="0" borderId="92" xfId="63" applyNumberFormat="1" applyFont="1" applyFill="1" applyBorder="1" applyAlignment="1" applyProtection="1">
      <alignment vertical="center"/>
      <protection/>
    </xf>
    <xf numFmtId="184" fontId="30" fillId="0" borderId="92" xfId="63" applyNumberFormat="1" applyFont="1" applyFill="1" applyBorder="1" applyAlignment="1">
      <alignment vertical="center"/>
      <protection/>
    </xf>
    <xf numFmtId="179" fontId="8" fillId="0" borderId="117" xfId="63" applyNumberFormat="1" applyFont="1" applyFill="1" applyBorder="1" applyAlignment="1">
      <alignment horizontal="center" vertical="center"/>
      <protection/>
    </xf>
    <xf numFmtId="184" fontId="8" fillId="0" borderId="93" xfId="63" applyNumberFormat="1" applyFont="1" applyFill="1" applyBorder="1" applyAlignment="1" applyProtection="1">
      <alignment vertical="center"/>
      <protection/>
    </xf>
    <xf numFmtId="184" fontId="9" fillId="0" borderId="93" xfId="63" applyNumberFormat="1" applyFont="1" applyFill="1" applyBorder="1" applyAlignment="1" applyProtection="1">
      <alignment vertical="center"/>
      <protection/>
    </xf>
    <xf numFmtId="184" fontId="9" fillId="0" borderId="66" xfId="63" applyNumberFormat="1" applyFont="1" applyFill="1" applyBorder="1" applyAlignment="1" applyProtection="1">
      <alignment/>
      <protection/>
    </xf>
    <xf numFmtId="184" fontId="30" fillId="0" borderId="93" xfId="63" applyNumberFormat="1" applyFont="1" applyFill="1" applyBorder="1" applyAlignment="1" applyProtection="1">
      <alignment vertical="center"/>
      <protection/>
    </xf>
    <xf numFmtId="179" fontId="16" fillId="0" borderId="90" xfId="63" applyNumberFormat="1" applyFont="1" applyFill="1" applyBorder="1" applyAlignment="1">
      <alignment horizontal="center" vertical="center"/>
      <protection/>
    </xf>
    <xf numFmtId="179" fontId="12" fillId="0" borderId="0" xfId="63" applyNumberFormat="1" applyFont="1" applyFill="1" applyAlignment="1">
      <alignment/>
      <protection/>
    </xf>
    <xf numFmtId="3" fontId="12" fillId="0" borderId="0" xfId="63" applyNumberFormat="1" applyFont="1" applyFill="1" applyAlignment="1">
      <alignment vertical="center"/>
      <protection/>
    </xf>
    <xf numFmtId="179" fontId="12" fillId="0" borderId="0" xfId="63" applyNumberFormat="1" applyFont="1" applyFill="1" applyAlignment="1">
      <alignment horizontal="center" vertical="center"/>
      <protection/>
    </xf>
    <xf numFmtId="3" fontId="12" fillId="0" borderId="0" xfId="63" applyNumberFormat="1" applyFont="1" applyAlignment="1">
      <alignment vertical="center"/>
      <protection/>
    </xf>
    <xf numFmtId="3" fontId="16" fillId="0" borderId="0" xfId="63" applyNumberFormat="1" applyFont="1" applyFill="1" applyAlignment="1">
      <alignment vertical="center"/>
      <protection/>
    </xf>
    <xf numFmtId="0" fontId="16" fillId="0" borderId="0" xfId="63" applyFont="1" applyFill="1" applyAlignment="1">
      <alignment horizontal="center" vertical="center"/>
      <protection/>
    </xf>
    <xf numFmtId="179" fontId="16" fillId="0" borderId="0" xfId="63" applyNumberFormat="1" applyFont="1" applyFill="1" applyBorder="1" applyAlignment="1">
      <alignment horizontal="center" vertical="center"/>
      <protection/>
    </xf>
    <xf numFmtId="179" fontId="16" fillId="0" borderId="107" xfId="63" applyNumberFormat="1" applyFont="1" applyFill="1" applyBorder="1" applyAlignment="1">
      <alignment horizontal="center" vertical="center"/>
      <protection/>
    </xf>
    <xf numFmtId="179" fontId="16" fillId="0" borderId="108" xfId="63" applyNumberFormat="1" applyFont="1" applyFill="1" applyBorder="1" applyAlignment="1">
      <alignment horizontal="center" vertical="center"/>
      <protection/>
    </xf>
    <xf numFmtId="184" fontId="16" fillId="0" borderId="118" xfId="48" applyNumberFormat="1" applyFont="1" applyFill="1" applyBorder="1" applyAlignment="1">
      <alignment vertical="center"/>
    </xf>
    <xf numFmtId="184" fontId="16" fillId="0" borderId="92" xfId="48" applyNumberFormat="1" applyFont="1" applyFill="1" applyBorder="1" applyAlignment="1">
      <alignment vertical="center"/>
    </xf>
    <xf numFmtId="184" fontId="16" fillId="0" borderId="92" xfId="48" applyNumberFormat="1" applyFont="1" applyFill="1" applyBorder="1" applyAlignment="1">
      <alignment horizontal="right" vertical="center"/>
    </xf>
    <xf numFmtId="184" fontId="16" fillId="0" borderId="98" xfId="48" applyNumberFormat="1" applyFont="1" applyFill="1" applyBorder="1" applyAlignment="1">
      <alignment vertical="center"/>
    </xf>
    <xf numFmtId="184" fontId="16" fillId="0" borderId="0" xfId="48" applyNumberFormat="1" applyFont="1" applyFill="1" applyBorder="1" applyAlignment="1">
      <alignment vertical="center"/>
    </xf>
    <xf numFmtId="3" fontId="16" fillId="0" borderId="0" xfId="63" applyNumberFormat="1" applyFont="1" applyAlignment="1">
      <alignment vertical="center"/>
      <protection/>
    </xf>
    <xf numFmtId="184" fontId="24" fillId="0" borderId="119" xfId="48" applyNumberFormat="1" applyFont="1" applyFill="1" applyBorder="1" applyAlignment="1">
      <alignment vertical="center"/>
    </xf>
    <xf numFmtId="184" fontId="24" fillId="0" borderId="92" xfId="48" applyNumberFormat="1" applyFont="1" applyFill="1" applyBorder="1" applyAlignment="1">
      <alignment vertical="center"/>
    </xf>
    <xf numFmtId="184" fontId="24" fillId="0" borderId="98" xfId="48" applyNumberFormat="1" applyFont="1" applyFill="1" applyBorder="1" applyAlignment="1">
      <alignment vertical="center"/>
    </xf>
    <xf numFmtId="184" fontId="24" fillId="0" borderId="0" xfId="48" applyNumberFormat="1" applyFont="1" applyFill="1" applyBorder="1" applyAlignment="1">
      <alignment vertical="center"/>
    </xf>
    <xf numFmtId="179" fontId="24" fillId="0" borderId="100" xfId="63" applyNumberFormat="1" applyFont="1" applyFill="1" applyBorder="1" applyAlignment="1">
      <alignment horizontal="center" vertical="center"/>
      <protection/>
    </xf>
    <xf numFmtId="184" fontId="24" fillId="0" borderId="92" xfId="63" applyNumberFormat="1" applyFont="1" applyFill="1" applyBorder="1" applyAlignment="1">
      <alignment vertical="center"/>
      <protection/>
    </xf>
    <xf numFmtId="184" fontId="24" fillId="0" borderId="99" xfId="63" applyNumberFormat="1" applyFont="1" applyFill="1" applyBorder="1" applyAlignment="1">
      <alignment vertical="center"/>
      <protection/>
    </xf>
    <xf numFmtId="3" fontId="24" fillId="0" borderId="0" xfId="63" applyNumberFormat="1" applyFont="1" applyFill="1" applyAlignment="1">
      <alignment vertical="center"/>
      <protection/>
    </xf>
    <xf numFmtId="3" fontId="24" fillId="0" borderId="0" xfId="63" applyNumberFormat="1" applyFont="1" applyAlignment="1">
      <alignment vertical="center"/>
      <protection/>
    </xf>
    <xf numFmtId="184" fontId="24" fillId="0" borderId="90" xfId="63" applyNumberFormat="1" applyFont="1" applyFill="1" applyBorder="1" applyAlignment="1">
      <alignment/>
      <protection/>
    </xf>
    <xf numFmtId="184" fontId="24" fillId="0" borderId="67" xfId="63" applyNumberFormat="1" applyFont="1" applyFill="1" applyBorder="1" applyAlignment="1">
      <alignment/>
      <protection/>
    </xf>
    <xf numFmtId="184" fontId="24" fillId="0" borderId="102" xfId="63" applyNumberFormat="1" applyFont="1" applyFill="1" applyBorder="1" applyAlignment="1">
      <alignment/>
      <protection/>
    </xf>
    <xf numFmtId="179" fontId="31" fillId="0" borderId="0" xfId="63" applyNumberFormat="1" applyFont="1" applyFill="1" applyAlignment="1">
      <alignment horizontal="center"/>
      <protection/>
    </xf>
    <xf numFmtId="184" fontId="24" fillId="0" borderId="71" xfId="63" applyNumberFormat="1" applyFont="1" applyFill="1" applyBorder="1" applyAlignment="1">
      <alignment/>
      <protection/>
    </xf>
    <xf numFmtId="3" fontId="24" fillId="0" borderId="0" xfId="63" applyNumberFormat="1" applyFont="1" applyFill="1" applyAlignment="1">
      <alignment/>
      <protection/>
    </xf>
    <xf numFmtId="3" fontId="24" fillId="0" borderId="0" xfId="63" applyNumberFormat="1" applyFont="1" applyAlignment="1">
      <alignment/>
      <protection/>
    </xf>
    <xf numFmtId="184" fontId="24" fillId="0" borderId="0" xfId="63" applyNumberFormat="1" applyFont="1" applyFill="1" applyBorder="1" applyAlignment="1">
      <alignment vertical="center"/>
      <protection/>
    </xf>
    <xf numFmtId="184" fontId="24" fillId="0" borderId="98" xfId="63" applyNumberFormat="1" applyFont="1" applyFill="1" applyBorder="1" applyAlignment="1">
      <alignment vertical="center"/>
      <protection/>
    </xf>
    <xf numFmtId="179" fontId="31" fillId="0" borderId="0" xfId="63" applyNumberFormat="1" applyFont="1" applyFill="1" applyAlignment="1">
      <alignment horizontal="center" vertical="center"/>
      <protection/>
    </xf>
    <xf numFmtId="3" fontId="24" fillId="0" borderId="0" xfId="63" applyNumberFormat="1" applyFont="1" applyFill="1" applyBorder="1" applyAlignment="1">
      <alignment vertical="center"/>
      <protection/>
    </xf>
    <xf numFmtId="3" fontId="24" fillId="0" borderId="0" xfId="63" applyNumberFormat="1" applyFont="1" applyBorder="1" applyAlignment="1">
      <alignment vertical="center"/>
      <protection/>
    </xf>
    <xf numFmtId="184" fontId="16" fillId="0" borderId="0" xfId="63" applyNumberFormat="1" applyFont="1" applyFill="1" applyBorder="1" applyAlignment="1">
      <alignment vertical="center"/>
      <protection/>
    </xf>
    <xf numFmtId="184" fontId="16" fillId="0" borderId="98" xfId="63" applyNumberFormat="1" applyFont="1" applyFill="1" applyBorder="1" applyAlignment="1">
      <alignment vertical="center"/>
      <protection/>
    </xf>
    <xf numFmtId="184" fontId="16" fillId="0" borderId="100" xfId="63" applyNumberFormat="1" applyFont="1" applyFill="1" applyBorder="1" applyAlignment="1">
      <alignment vertical="center"/>
      <protection/>
    </xf>
    <xf numFmtId="184" fontId="16" fillId="0" borderId="120" xfId="63" applyNumberFormat="1" applyFont="1" applyFill="1" applyBorder="1" applyAlignment="1">
      <alignment vertical="center"/>
      <protection/>
    </xf>
    <xf numFmtId="184" fontId="16" fillId="0" borderId="121" xfId="63" applyNumberFormat="1" applyFont="1" applyFill="1" applyBorder="1" applyAlignment="1">
      <alignment vertical="center"/>
      <protection/>
    </xf>
    <xf numFmtId="184" fontId="24" fillId="0" borderId="114" xfId="63" applyNumberFormat="1" applyFont="1" applyFill="1" applyBorder="1" applyAlignment="1">
      <alignment/>
      <protection/>
    </xf>
    <xf numFmtId="184" fontId="24" fillId="0" borderId="112" xfId="63" applyNumberFormat="1" applyFont="1" applyFill="1" applyBorder="1" applyAlignment="1">
      <alignment/>
      <protection/>
    </xf>
    <xf numFmtId="184" fontId="24" fillId="0" borderId="113" xfId="63" applyNumberFormat="1" applyFont="1" applyFill="1" applyBorder="1" applyAlignment="1">
      <alignment/>
      <protection/>
    </xf>
    <xf numFmtId="184" fontId="24" fillId="0" borderId="122" xfId="63" applyNumberFormat="1" applyFont="1" applyFill="1" applyBorder="1" applyAlignment="1">
      <alignment/>
      <protection/>
    </xf>
    <xf numFmtId="177" fontId="31" fillId="0" borderId="90" xfId="63" applyNumberFormat="1" applyFont="1" applyFill="1" applyBorder="1" applyAlignment="1">
      <alignment horizontal="center" vertical="center"/>
      <protection/>
    </xf>
    <xf numFmtId="184" fontId="24" fillId="0" borderId="112" xfId="63" applyNumberFormat="1" applyFont="1" applyFill="1" applyBorder="1" applyAlignment="1">
      <alignment vertical="center"/>
      <protection/>
    </xf>
    <xf numFmtId="184" fontId="24" fillId="0" borderId="116" xfId="63" applyNumberFormat="1" applyFont="1" applyFill="1" applyBorder="1" applyAlignment="1">
      <alignment vertical="center"/>
      <protection/>
    </xf>
    <xf numFmtId="177" fontId="31" fillId="0" borderId="0" xfId="63" applyNumberFormat="1" applyFont="1" applyFill="1" applyBorder="1" applyAlignment="1">
      <alignment horizontal="center" vertical="center"/>
      <protection/>
    </xf>
    <xf numFmtId="184" fontId="24" fillId="0" borderId="90" xfId="63" applyNumberFormat="1" applyFont="1" applyFill="1" applyBorder="1" applyAlignment="1">
      <alignment wrapText="1"/>
      <protection/>
    </xf>
    <xf numFmtId="184" fontId="24" fillId="0" borderId="67" xfId="63" applyNumberFormat="1" applyFont="1" applyFill="1" applyBorder="1" applyAlignment="1">
      <alignment wrapText="1"/>
      <protection/>
    </xf>
    <xf numFmtId="184" fontId="24" fillId="0" borderId="67" xfId="63" applyNumberFormat="1" applyFont="1" applyFill="1" applyBorder="1" applyAlignment="1">
      <alignment vertical="center"/>
      <protection/>
    </xf>
    <xf numFmtId="184" fontId="24" fillId="0" borderId="71" xfId="63" applyNumberFormat="1" applyFont="1" applyFill="1" applyBorder="1" applyAlignment="1">
      <alignment vertical="center"/>
      <protection/>
    </xf>
    <xf numFmtId="179" fontId="31" fillId="0" borderId="0" xfId="63" applyNumberFormat="1" applyFont="1" applyFill="1" applyBorder="1" applyAlignment="1">
      <alignment horizontal="center" vertical="center"/>
      <protection/>
    </xf>
    <xf numFmtId="184" fontId="24" fillId="0" borderId="0" xfId="63" applyNumberFormat="1" applyFont="1" applyFill="1" applyBorder="1" applyAlignment="1">
      <alignment/>
      <protection/>
    </xf>
    <xf numFmtId="184" fontId="24" fillId="0" borderId="92" xfId="63" applyNumberFormat="1" applyFont="1" applyFill="1" applyBorder="1" applyAlignment="1">
      <alignment/>
      <protection/>
    </xf>
    <xf numFmtId="184" fontId="24" fillId="0" borderId="98" xfId="63" applyNumberFormat="1" applyFont="1" applyFill="1" applyBorder="1" applyAlignment="1">
      <alignment/>
      <protection/>
    </xf>
    <xf numFmtId="0" fontId="16" fillId="0" borderId="0" xfId="63" applyFont="1" applyFill="1" applyAlignment="1">
      <alignment/>
      <protection/>
    </xf>
    <xf numFmtId="179" fontId="16" fillId="0" borderId="0" xfId="63" applyNumberFormat="1" applyFont="1" applyAlignment="1">
      <alignment horizontal="center" vertical="center"/>
      <protection/>
    </xf>
    <xf numFmtId="0" fontId="16" fillId="0" borderId="0" xfId="63" applyFont="1" applyAlignment="1">
      <alignment/>
      <protection/>
    </xf>
    <xf numFmtId="184" fontId="16" fillId="0" borderId="93" xfId="48" applyNumberFormat="1" applyFont="1" applyFill="1" applyBorder="1" applyAlignment="1">
      <alignment vertical="center"/>
    </xf>
    <xf numFmtId="184" fontId="16" fillId="0" borderId="99" xfId="48" applyNumberFormat="1" applyFont="1" applyFill="1" applyBorder="1" applyAlignment="1">
      <alignment horizontal="right" vertical="center"/>
    </xf>
    <xf numFmtId="184" fontId="16" fillId="0" borderId="99" xfId="48" applyNumberFormat="1" applyFont="1" applyFill="1" applyBorder="1" applyAlignment="1">
      <alignment vertical="center"/>
    </xf>
    <xf numFmtId="184" fontId="24" fillId="0" borderId="93" xfId="48" applyNumberFormat="1" applyFont="1" applyFill="1" applyBorder="1" applyAlignment="1">
      <alignment vertical="center"/>
    </xf>
    <xf numFmtId="184" fontId="24" fillId="0" borderId="99" xfId="48" applyNumberFormat="1" applyFont="1" applyFill="1" applyBorder="1" applyAlignment="1">
      <alignment vertical="center"/>
    </xf>
    <xf numFmtId="184" fontId="24" fillId="0" borderId="66" xfId="63" applyNumberFormat="1" applyFont="1" applyFill="1" applyBorder="1" applyAlignment="1">
      <alignment/>
      <protection/>
    </xf>
    <xf numFmtId="184" fontId="24" fillId="0" borderId="93" xfId="63" applyNumberFormat="1" applyFont="1" applyFill="1" applyBorder="1" applyAlignment="1">
      <alignment vertical="center"/>
      <protection/>
    </xf>
    <xf numFmtId="184" fontId="16" fillId="0" borderId="93" xfId="63" applyNumberFormat="1" applyFont="1" applyFill="1" applyBorder="1" applyAlignment="1">
      <alignment vertical="center"/>
      <protection/>
    </xf>
    <xf numFmtId="184" fontId="16" fillId="0" borderId="97" xfId="63" applyNumberFormat="1" applyFont="1" applyFill="1" applyBorder="1" applyAlignment="1">
      <alignment vertical="center"/>
      <protection/>
    </xf>
    <xf numFmtId="184" fontId="24" fillId="0" borderId="111" xfId="63" applyNumberFormat="1" applyFont="1" applyFill="1" applyBorder="1" applyAlignment="1">
      <alignment/>
      <protection/>
    </xf>
    <xf numFmtId="184" fontId="24" fillId="0" borderId="116" xfId="63" applyNumberFormat="1" applyFont="1" applyFill="1" applyBorder="1" applyAlignment="1">
      <alignment/>
      <protection/>
    </xf>
    <xf numFmtId="184" fontId="24" fillId="0" borderId="93" xfId="63" applyNumberFormat="1" applyFont="1" applyFill="1" applyBorder="1" applyAlignment="1">
      <alignment/>
      <protection/>
    </xf>
    <xf numFmtId="184" fontId="24" fillId="0" borderId="99" xfId="63" applyNumberFormat="1" applyFont="1" applyFill="1" applyBorder="1" applyAlignment="1">
      <alignment/>
      <protection/>
    </xf>
    <xf numFmtId="179" fontId="16" fillId="0" borderId="117" xfId="63" applyNumberFormat="1" applyFont="1" applyFill="1" applyBorder="1" applyAlignment="1">
      <alignment horizontal="center" vertical="center"/>
      <protection/>
    </xf>
    <xf numFmtId="184" fontId="24" fillId="0" borderId="121" xfId="48" applyNumberFormat="1" applyFont="1" applyFill="1" applyBorder="1" applyAlignment="1">
      <alignment vertical="center"/>
    </xf>
    <xf numFmtId="179" fontId="16" fillId="0" borderId="123" xfId="63" applyNumberFormat="1" applyFont="1" applyFill="1" applyBorder="1" applyAlignment="1">
      <alignment horizontal="center" vertical="center"/>
      <protection/>
    </xf>
    <xf numFmtId="184" fontId="16" fillId="0" borderId="124" xfId="48" applyNumberFormat="1" applyFont="1" applyFill="1" applyBorder="1" applyAlignment="1">
      <alignment vertical="center"/>
    </xf>
    <xf numFmtId="184" fontId="24" fillId="0" borderId="124" xfId="63" applyNumberFormat="1" applyFont="1" applyFill="1" applyBorder="1" applyAlignment="1">
      <alignment vertical="center"/>
      <protection/>
    </xf>
    <xf numFmtId="184" fontId="24" fillId="0" borderId="125" xfId="63" applyNumberFormat="1" applyFont="1" applyFill="1" applyBorder="1" applyAlignment="1">
      <alignment/>
      <protection/>
    </xf>
    <xf numFmtId="184" fontId="16" fillId="0" borderId="124" xfId="63" applyNumberFormat="1" applyFont="1" applyFill="1" applyBorder="1" applyAlignment="1">
      <alignment vertical="center"/>
      <protection/>
    </xf>
    <xf numFmtId="184" fontId="16" fillId="0" borderId="126" xfId="63" applyNumberFormat="1" applyFont="1" applyFill="1" applyBorder="1" applyAlignment="1">
      <alignment vertical="center"/>
      <protection/>
    </xf>
    <xf numFmtId="184" fontId="24" fillId="0" borderId="124" xfId="63" applyNumberFormat="1" applyFont="1" applyFill="1" applyBorder="1" applyAlignment="1">
      <alignment/>
      <protection/>
    </xf>
    <xf numFmtId="177" fontId="8" fillId="0" borderId="127" xfId="63" applyNumberFormat="1" applyFont="1" applyFill="1" applyBorder="1" applyAlignment="1">
      <alignment horizontal="right" vertical="center"/>
      <protection/>
    </xf>
    <xf numFmtId="3" fontId="8" fillId="0" borderId="128" xfId="63" applyNumberFormat="1" applyFont="1" applyFill="1" applyBorder="1" applyAlignment="1">
      <alignment horizontal="distributed" vertical="center"/>
      <protection/>
    </xf>
    <xf numFmtId="177" fontId="8" fillId="0" borderId="129" xfId="63" applyNumberFormat="1" applyFont="1" applyFill="1" applyBorder="1" applyAlignment="1">
      <alignment vertical="center"/>
      <protection/>
    </xf>
    <xf numFmtId="177" fontId="8" fillId="0" borderId="130" xfId="63" applyNumberFormat="1" applyFont="1" applyFill="1" applyBorder="1" applyAlignment="1">
      <alignment vertical="center"/>
      <protection/>
    </xf>
    <xf numFmtId="9" fontId="8" fillId="0" borderId="131" xfId="63" applyNumberFormat="1" applyFont="1" applyFill="1" applyBorder="1" applyAlignment="1">
      <alignment vertical="center"/>
      <protection/>
    </xf>
    <xf numFmtId="177" fontId="8" fillId="0" borderId="132" xfId="63" applyNumberFormat="1" applyFont="1" applyFill="1" applyBorder="1" applyAlignment="1">
      <alignment vertical="center"/>
      <protection/>
    </xf>
    <xf numFmtId="184" fontId="9" fillId="0" borderId="13" xfId="63" applyNumberFormat="1" applyFont="1" applyFill="1" applyBorder="1" applyAlignment="1">
      <alignment vertical="center"/>
      <protection/>
    </xf>
    <xf numFmtId="0" fontId="8" fillId="0" borderId="40" xfId="63" applyNumberFormat="1" applyFont="1" applyFill="1" applyBorder="1" applyAlignment="1">
      <alignment horizontal="center" vertical="center"/>
      <protection/>
    </xf>
    <xf numFmtId="0" fontId="8" fillId="0" borderId="41" xfId="63" applyNumberFormat="1" applyFont="1" applyFill="1" applyBorder="1" applyAlignment="1">
      <alignment horizontal="center" vertical="center"/>
      <protection/>
    </xf>
    <xf numFmtId="176" fontId="8" fillId="0" borderId="133" xfId="63" applyNumberFormat="1" applyFont="1" applyFill="1" applyBorder="1" applyAlignment="1">
      <alignment vertical="center"/>
      <protection/>
    </xf>
    <xf numFmtId="176" fontId="8" fillId="0" borderId="134" xfId="63" applyNumberFormat="1" applyFont="1" applyFill="1" applyBorder="1" applyAlignment="1">
      <alignment vertical="center"/>
      <protection/>
    </xf>
    <xf numFmtId="179" fontId="26" fillId="0" borderId="0" xfId="62" applyNumberFormat="1" applyFont="1" applyFill="1" applyBorder="1" applyAlignment="1" applyProtection="1">
      <alignment vertical="center"/>
      <protection/>
    </xf>
    <xf numFmtId="179" fontId="26" fillId="0" borderId="0" xfId="62" applyNumberFormat="1" applyFont="1" applyFill="1" applyBorder="1" applyAlignment="1" applyProtection="1">
      <alignment horizontal="distributed" vertical="center"/>
      <protection/>
    </xf>
    <xf numFmtId="179" fontId="26" fillId="0" borderId="135" xfId="62" applyNumberFormat="1" applyFont="1" applyFill="1" applyBorder="1" applyAlignment="1" applyProtection="1">
      <alignment horizontal="distributed" vertical="center"/>
      <protection/>
    </xf>
    <xf numFmtId="184" fontId="24" fillId="0" borderId="111" xfId="63" applyNumberFormat="1" applyFont="1" applyFill="1" applyBorder="1" applyAlignment="1">
      <alignment wrapText="1"/>
      <protection/>
    </xf>
    <xf numFmtId="184" fontId="24" fillId="0" borderId="112" xfId="63" applyNumberFormat="1" applyFont="1" applyFill="1" applyBorder="1" applyAlignment="1">
      <alignment wrapText="1"/>
      <protection/>
    </xf>
    <xf numFmtId="184" fontId="24" fillId="0" borderId="116" xfId="63" applyNumberFormat="1" applyFont="1" applyFill="1" applyBorder="1" applyAlignment="1">
      <alignment wrapText="1"/>
      <protection/>
    </xf>
    <xf numFmtId="179" fontId="21" fillId="0" borderId="93" xfId="63" applyNumberFormat="1" applyFont="1" applyFill="1" applyBorder="1" applyAlignment="1">
      <alignment horizontal="center" vertical="center"/>
      <protection/>
    </xf>
    <xf numFmtId="179" fontId="26" fillId="0" borderId="0" xfId="63" applyNumberFormat="1" applyFont="1" applyFill="1" applyBorder="1" applyAlignment="1">
      <alignment horizontal="center" vertical="center"/>
      <protection/>
    </xf>
    <xf numFmtId="0" fontId="21" fillId="0" borderId="0" xfId="63" applyFont="1" applyBorder="1" applyAlignment="1">
      <alignment vertical="center"/>
      <protection/>
    </xf>
    <xf numFmtId="179" fontId="16" fillId="0" borderId="0" xfId="62" applyNumberFormat="1" applyFont="1" applyFill="1" applyBorder="1" applyAlignment="1" applyProtection="1">
      <alignment horizontal="center" vertical="center"/>
      <protection/>
    </xf>
    <xf numFmtId="179" fontId="16" fillId="0" borderId="0" xfId="62" applyNumberFormat="1" applyFont="1" applyFill="1" applyBorder="1" applyAlignment="1" applyProtection="1">
      <alignment vertical="center"/>
      <protection/>
    </xf>
    <xf numFmtId="177" fontId="9" fillId="0" borderId="63" xfId="63" applyNumberFormat="1" applyFont="1" applyFill="1" applyBorder="1" applyAlignment="1" applyProtection="1">
      <alignment vertical="center"/>
      <protection/>
    </xf>
    <xf numFmtId="177" fontId="8" fillId="0" borderId="136" xfId="63" applyNumberFormat="1" applyFont="1" applyFill="1" applyBorder="1" applyAlignment="1">
      <alignment vertical="center"/>
      <protection/>
    </xf>
    <xf numFmtId="177" fontId="8" fillId="0" borderId="64" xfId="63" applyNumberFormat="1" applyFont="1" applyFill="1" applyBorder="1" applyAlignment="1">
      <alignment vertical="center"/>
      <protection/>
    </xf>
    <xf numFmtId="177" fontId="8" fillId="0" borderId="63" xfId="63" applyNumberFormat="1" applyFont="1" applyFill="1" applyBorder="1" applyAlignment="1">
      <alignment vertical="center"/>
      <protection/>
    </xf>
    <xf numFmtId="177" fontId="8" fillId="0" borderId="137" xfId="63" applyNumberFormat="1" applyFont="1" applyFill="1" applyBorder="1" applyAlignment="1">
      <alignment vertical="center"/>
      <protection/>
    </xf>
    <xf numFmtId="177" fontId="8" fillId="0" borderId="131" xfId="63" applyNumberFormat="1" applyFont="1" applyFill="1" applyBorder="1" applyAlignment="1">
      <alignment vertical="center"/>
      <protection/>
    </xf>
    <xf numFmtId="3" fontId="8" fillId="0" borderId="138" xfId="63" applyNumberFormat="1" applyFont="1" applyFill="1" applyBorder="1" applyAlignment="1">
      <alignment horizontal="distributed" vertical="center"/>
      <protection/>
    </xf>
    <xf numFmtId="177" fontId="8" fillId="0" borderId="139" xfId="63" applyNumberFormat="1" applyFont="1" applyFill="1" applyBorder="1" applyAlignment="1">
      <alignment vertical="center"/>
      <protection/>
    </xf>
    <xf numFmtId="177" fontId="8" fillId="0" borderId="140" xfId="63" applyNumberFormat="1" applyFont="1" applyFill="1" applyBorder="1" applyAlignment="1">
      <alignment vertical="center"/>
      <protection/>
    </xf>
    <xf numFmtId="177" fontId="8" fillId="0" borderId="63" xfId="63" applyNumberFormat="1" applyFont="1" applyFill="1" applyBorder="1" applyAlignment="1">
      <alignment horizontal="right" vertical="center"/>
      <protection/>
    </xf>
    <xf numFmtId="0" fontId="14" fillId="0" borderId="0" xfId="63" applyNumberFormat="1" applyFont="1" applyFill="1" applyAlignment="1" applyProtection="1">
      <alignment/>
      <protection locked="0"/>
    </xf>
    <xf numFmtId="3" fontId="8" fillId="0" borderId="141" xfId="63" applyNumberFormat="1" applyFont="1" applyFill="1" applyBorder="1" applyAlignment="1">
      <alignment horizontal="distributed" vertical="center"/>
      <protection/>
    </xf>
    <xf numFmtId="177" fontId="8" fillId="0" borderId="142" xfId="63" applyNumberFormat="1" applyFont="1" applyFill="1" applyBorder="1" applyAlignment="1">
      <alignment vertical="center"/>
      <protection/>
    </xf>
    <xf numFmtId="184" fontId="16" fillId="0" borderId="120" xfId="63" applyNumberFormat="1" applyFont="1" applyFill="1" applyBorder="1" applyAlignment="1" applyProtection="1">
      <alignment vertical="center"/>
      <protection/>
    </xf>
    <xf numFmtId="184" fontId="16" fillId="0" borderId="94" xfId="63" applyNumberFormat="1" applyFont="1" applyFill="1" applyBorder="1" applyAlignment="1" applyProtection="1">
      <alignment vertical="center"/>
      <protection/>
    </xf>
    <xf numFmtId="180" fontId="16" fillId="0" borderId="94" xfId="63" applyNumberFormat="1" applyFont="1" applyFill="1" applyBorder="1" applyAlignment="1">
      <alignment vertical="center"/>
      <protection/>
    </xf>
    <xf numFmtId="184" fontId="8" fillId="0" borderId="143" xfId="63" applyNumberFormat="1" applyFont="1" applyFill="1" applyBorder="1" applyAlignment="1" applyProtection="1">
      <alignment vertical="center"/>
      <protection/>
    </xf>
    <xf numFmtId="184" fontId="8" fillId="0" borderId="94" xfId="63" applyNumberFormat="1" applyFont="1" applyFill="1" applyBorder="1" applyAlignment="1" applyProtection="1">
      <alignment vertical="center"/>
      <protection/>
    </xf>
    <xf numFmtId="184" fontId="8" fillId="0" borderId="120" xfId="63" applyNumberFormat="1" applyFont="1" applyFill="1" applyBorder="1" applyAlignment="1" applyProtection="1">
      <alignment vertical="center"/>
      <protection/>
    </xf>
    <xf numFmtId="184" fontId="8" fillId="0" borderId="100" xfId="63" applyNumberFormat="1" applyFont="1" applyFill="1" applyBorder="1" applyAlignment="1" applyProtection="1">
      <alignment vertical="center"/>
      <protection/>
    </xf>
    <xf numFmtId="184" fontId="8" fillId="0" borderId="94" xfId="63" applyNumberFormat="1" applyFont="1" applyFill="1" applyBorder="1" applyAlignment="1">
      <alignment vertical="center"/>
      <protection/>
    </xf>
    <xf numFmtId="184" fontId="8" fillId="0" borderId="121" xfId="63" applyNumberFormat="1" applyFont="1" applyFill="1" applyBorder="1" applyAlignment="1">
      <alignment vertical="center"/>
      <protection/>
    </xf>
    <xf numFmtId="184" fontId="8" fillId="0" borderId="97" xfId="63" applyNumberFormat="1" applyFont="1" applyFill="1" applyBorder="1" applyAlignment="1" applyProtection="1">
      <alignment vertical="center"/>
      <protection/>
    </xf>
    <xf numFmtId="0" fontId="8" fillId="0" borderId="0" xfId="63" applyFont="1" applyFill="1" applyBorder="1" applyAlignment="1">
      <alignment/>
      <protection/>
    </xf>
    <xf numFmtId="184" fontId="9" fillId="0" borderId="118" xfId="63" applyNumberFormat="1" applyFont="1" applyFill="1" applyBorder="1" applyAlignment="1" applyProtection="1">
      <alignment wrapText="1"/>
      <protection/>
    </xf>
    <xf numFmtId="184" fontId="8" fillId="0" borderId="144" xfId="63" applyNumberFormat="1" applyFont="1" applyFill="1" applyBorder="1" applyAlignment="1" applyProtection="1">
      <alignment vertical="center"/>
      <protection/>
    </xf>
    <xf numFmtId="184" fontId="9" fillId="0" borderId="135" xfId="63" applyNumberFormat="1" applyFont="1" applyFill="1" applyBorder="1" applyAlignment="1" applyProtection="1">
      <alignment vertical="center"/>
      <protection/>
    </xf>
    <xf numFmtId="179" fontId="26" fillId="0" borderId="145" xfId="62" applyNumberFormat="1" applyFont="1" applyFill="1" applyBorder="1" applyAlignment="1" applyProtection="1">
      <alignment horizontal="distributed" vertical="center"/>
      <protection/>
    </xf>
    <xf numFmtId="179" fontId="26" fillId="0" borderId="146" xfId="62" applyNumberFormat="1" applyFont="1" applyFill="1" applyBorder="1" applyAlignment="1" applyProtection="1">
      <alignment horizontal="distributed" vertical="center"/>
      <protection/>
    </xf>
    <xf numFmtId="179" fontId="26" fillId="0" borderId="100" xfId="62" applyNumberFormat="1" applyFont="1" applyFill="1" applyBorder="1" applyAlignment="1" applyProtection="1">
      <alignment horizontal="distributed" vertical="center"/>
      <protection/>
    </xf>
    <xf numFmtId="184" fontId="24" fillId="0" borderId="66" xfId="63" applyNumberFormat="1" applyFont="1" applyFill="1" applyBorder="1" applyAlignment="1">
      <alignment wrapText="1"/>
      <protection/>
    </xf>
    <xf numFmtId="184" fontId="24" fillId="0" borderId="102" xfId="63" applyNumberFormat="1" applyFont="1" applyFill="1" applyBorder="1" applyAlignment="1">
      <alignment wrapText="1"/>
      <protection/>
    </xf>
    <xf numFmtId="184" fontId="24" fillId="0" borderId="104" xfId="63" applyNumberFormat="1" applyFont="1" applyFill="1" applyBorder="1" applyAlignment="1">
      <alignment wrapText="1"/>
      <protection/>
    </xf>
    <xf numFmtId="179" fontId="26" fillId="0" borderId="147" xfId="62" applyNumberFormat="1" applyFont="1" applyFill="1" applyBorder="1" applyAlignment="1" applyProtection="1">
      <alignment horizontal="distributed" vertical="center"/>
      <protection/>
    </xf>
    <xf numFmtId="179" fontId="26" fillId="0" borderId="148" xfId="62" applyNumberFormat="1" applyFont="1" applyFill="1" applyBorder="1" applyAlignment="1" applyProtection="1">
      <alignment horizontal="distributed" vertical="center"/>
      <protection/>
    </xf>
    <xf numFmtId="179" fontId="12" fillId="0" borderId="0" xfId="63" applyNumberFormat="1" applyFont="1" applyFill="1" applyAlignment="1">
      <alignment vertical="center"/>
      <protection/>
    </xf>
    <xf numFmtId="179" fontId="16" fillId="0" borderId="90" xfId="63" applyNumberFormat="1" applyFont="1" applyFill="1" applyBorder="1" applyAlignment="1">
      <alignment vertical="center"/>
      <protection/>
    </xf>
    <xf numFmtId="179" fontId="27" fillId="0" borderId="0" xfId="63" applyNumberFormat="1" applyFont="1" applyFill="1" applyBorder="1" applyAlignment="1">
      <alignment/>
      <protection/>
    </xf>
    <xf numFmtId="179" fontId="27" fillId="0" borderId="0" xfId="63" applyNumberFormat="1" applyFont="1" applyFill="1" applyBorder="1" applyAlignment="1">
      <alignment vertical="center"/>
      <protection/>
    </xf>
    <xf numFmtId="177" fontId="31" fillId="0" borderId="90" xfId="63" applyNumberFormat="1" applyFont="1" applyFill="1" applyBorder="1" applyAlignment="1">
      <alignment vertical="center"/>
      <protection/>
    </xf>
    <xf numFmtId="177" fontId="31" fillId="0" borderId="0" xfId="63" applyNumberFormat="1" applyFont="1" applyFill="1" applyBorder="1" applyAlignment="1">
      <alignment vertical="center"/>
      <protection/>
    </xf>
    <xf numFmtId="179" fontId="16" fillId="0" borderId="97" xfId="63" applyNumberFormat="1" applyFont="1" applyFill="1" applyBorder="1" applyAlignment="1">
      <alignment vertical="center"/>
      <protection/>
    </xf>
    <xf numFmtId="179" fontId="31" fillId="0" borderId="0" xfId="63" applyNumberFormat="1" applyFont="1" applyFill="1" applyAlignment="1">
      <alignment vertical="center"/>
      <protection/>
    </xf>
    <xf numFmtId="179" fontId="31" fillId="0" borderId="0" xfId="63" applyNumberFormat="1" applyFont="1" applyFill="1" applyBorder="1" applyAlignment="1">
      <alignment vertical="center"/>
      <protection/>
    </xf>
    <xf numFmtId="179" fontId="8" fillId="0" borderId="97" xfId="62" applyNumberFormat="1" applyFont="1" applyFill="1" applyBorder="1" applyAlignment="1" applyProtection="1">
      <alignment vertical="center"/>
      <protection/>
    </xf>
    <xf numFmtId="179" fontId="8" fillId="0" borderId="149" xfId="62" applyNumberFormat="1" applyFont="1" applyFill="1" applyBorder="1" applyAlignment="1" applyProtection="1">
      <alignment vertical="center"/>
      <protection/>
    </xf>
    <xf numFmtId="184" fontId="24" fillId="0" borderId="67" xfId="62" applyNumberFormat="1" applyFont="1" applyFill="1" applyBorder="1" applyAlignment="1" applyProtection="1">
      <alignment/>
      <protection/>
    </xf>
    <xf numFmtId="184" fontId="24" fillId="0" borderId="102" xfId="62" applyNumberFormat="1" applyFont="1" applyFill="1" applyBorder="1" applyAlignment="1" applyProtection="1">
      <alignment/>
      <protection/>
    </xf>
    <xf numFmtId="184" fontId="24" fillId="0" borderId="102" xfId="48" applyNumberFormat="1" applyFont="1" applyFill="1" applyBorder="1" applyAlignment="1" applyProtection="1">
      <alignment/>
      <protection/>
    </xf>
    <xf numFmtId="184" fontId="24" fillId="0" borderId="103" xfId="48" applyNumberFormat="1" applyFont="1" applyFill="1" applyBorder="1" applyAlignment="1" applyProtection="1">
      <alignment/>
      <protection/>
    </xf>
    <xf numFmtId="184" fontId="24" fillId="0" borderId="67" xfId="48" applyNumberFormat="1" applyFont="1" applyFill="1" applyBorder="1" applyAlignment="1" applyProtection="1">
      <alignment/>
      <protection/>
    </xf>
    <xf numFmtId="184" fontId="24" fillId="0" borderId="101" xfId="48" applyNumberFormat="1" applyFont="1" applyFill="1" applyBorder="1" applyAlignment="1" applyProtection="1">
      <alignment/>
      <protection/>
    </xf>
    <xf numFmtId="184" fontId="24" fillId="0" borderId="104" xfId="48" applyNumberFormat="1" applyFont="1" applyFill="1" applyBorder="1" applyAlignment="1" applyProtection="1">
      <alignment/>
      <protection/>
    </xf>
    <xf numFmtId="179" fontId="26" fillId="0" borderId="90" xfId="62" applyNumberFormat="1" applyFont="1" applyFill="1" applyBorder="1" applyAlignment="1" applyProtection="1">
      <alignment horizontal="center" vertical="center"/>
      <protection/>
    </xf>
    <xf numFmtId="183" fontId="26" fillId="0" borderId="0" xfId="62" applyNumberFormat="1" applyFont="1" applyFill="1" applyAlignment="1" applyProtection="1">
      <alignment vertical="center"/>
      <protection/>
    </xf>
    <xf numFmtId="179" fontId="26" fillId="0" borderId="0" xfId="62" applyNumberFormat="1" applyFont="1" applyFill="1" applyAlignment="1" applyProtection="1">
      <alignment vertical="center"/>
      <protection/>
    </xf>
    <xf numFmtId="184" fontId="24" fillId="0" borderId="92" xfId="62" applyNumberFormat="1" applyFont="1" applyFill="1" applyBorder="1" applyAlignment="1" applyProtection="1">
      <alignment vertical="center"/>
      <protection/>
    </xf>
    <xf numFmtId="184" fontId="24" fillId="0" borderId="98" xfId="48" applyNumberFormat="1" applyFont="1" applyFill="1" applyBorder="1" applyAlignment="1" applyProtection="1">
      <alignment vertical="center"/>
      <protection/>
    </xf>
    <xf numFmtId="184" fontId="24" fillId="0" borderId="92" xfId="48" applyNumberFormat="1" applyFont="1" applyFill="1" applyBorder="1" applyAlignment="1" applyProtection="1">
      <alignment vertical="center"/>
      <protection/>
    </xf>
    <xf numFmtId="184" fontId="24" fillId="0" borderId="99" xfId="48" applyNumberFormat="1" applyFont="1" applyFill="1" applyBorder="1" applyAlignment="1" applyProtection="1">
      <alignment vertical="center"/>
      <protection/>
    </xf>
    <xf numFmtId="179" fontId="26" fillId="0" borderId="0" xfId="62" applyNumberFormat="1" applyFont="1" applyFill="1" applyBorder="1" applyAlignment="1" applyProtection="1">
      <alignment horizontal="center" vertical="center"/>
      <protection/>
    </xf>
    <xf numFmtId="184" fontId="26" fillId="0" borderId="92" xfId="62" applyNumberFormat="1" applyFont="1" applyFill="1" applyBorder="1" applyAlignment="1" applyProtection="1">
      <alignment vertical="center"/>
      <protection/>
    </xf>
    <xf numFmtId="184" fontId="26" fillId="0" borderId="98" xfId="48" applyNumberFormat="1" applyFont="1" applyFill="1" applyBorder="1" applyAlignment="1" applyProtection="1">
      <alignment vertical="center"/>
      <protection/>
    </xf>
    <xf numFmtId="184" fontId="26" fillId="0" borderId="92" xfId="48" applyNumberFormat="1" applyFont="1" applyFill="1" applyBorder="1" applyAlignment="1" applyProtection="1">
      <alignment vertical="center"/>
      <protection/>
    </xf>
    <xf numFmtId="179" fontId="26" fillId="0" borderId="97" xfId="62" applyNumberFormat="1" applyFont="1" applyFill="1" applyBorder="1" applyAlignment="1" applyProtection="1">
      <alignment vertical="center"/>
      <protection/>
    </xf>
    <xf numFmtId="179" fontId="26" fillId="0" borderId="0" xfId="62" applyNumberFormat="1" applyFont="1" applyFill="1" applyAlignment="1" applyProtection="1">
      <alignment horizontal="center" vertical="center"/>
      <protection/>
    </xf>
    <xf numFmtId="184" fontId="24" fillId="0" borderId="102" xfId="48" applyNumberFormat="1" applyFont="1" applyFill="1" applyBorder="1" applyAlignment="1" applyProtection="1">
      <alignment/>
      <protection locked="0"/>
    </xf>
    <xf numFmtId="184" fontId="24" fillId="0" borderId="98" xfId="48" applyNumberFormat="1" applyFont="1" applyFill="1" applyBorder="1" applyAlignment="1" applyProtection="1">
      <alignment vertical="center"/>
      <protection locked="0"/>
    </xf>
    <xf numFmtId="184" fontId="26" fillId="0" borderId="98" xfId="48" applyNumberFormat="1" applyFont="1" applyFill="1" applyBorder="1" applyAlignment="1" applyProtection="1">
      <alignment vertical="center"/>
      <protection locked="0"/>
    </xf>
    <xf numFmtId="183" fontId="26" fillId="0" borderId="0" xfId="62" applyNumberFormat="1" applyFont="1" applyFill="1" applyBorder="1" applyAlignment="1" applyProtection="1">
      <alignment vertical="center"/>
      <protection/>
    </xf>
    <xf numFmtId="179" fontId="26" fillId="0" borderId="149" xfId="62" applyNumberFormat="1" applyFont="1" applyFill="1" applyBorder="1" applyAlignment="1" applyProtection="1">
      <alignment vertical="center"/>
      <protection/>
    </xf>
    <xf numFmtId="184" fontId="24" fillId="0" borderId="90" xfId="62" applyNumberFormat="1" applyFont="1" applyFill="1" applyBorder="1" applyAlignment="1" applyProtection="1">
      <alignment/>
      <protection/>
    </xf>
    <xf numFmtId="184" fontId="26" fillId="0" borderId="94" xfId="62" applyNumberFormat="1" applyFont="1" applyFill="1" applyBorder="1" applyAlignment="1" applyProtection="1">
      <alignment vertical="center"/>
      <protection/>
    </xf>
    <xf numFmtId="0" fontId="5" fillId="0" borderId="0" xfId="63" applyNumberFormat="1" applyFont="1" applyFill="1" applyBorder="1" applyAlignment="1" applyProtection="1">
      <alignment horizontal="center" vertical="center"/>
      <protection locked="0"/>
    </xf>
    <xf numFmtId="184" fontId="9" fillId="0" borderId="0" xfId="63" applyNumberFormat="1" applyFont="1" applyFill="1" applyBorder="1" applyAlignment="1" applyProtection="1">
      <alignment vertical="center"/>
      <protection locked="0"/>
    </xf>
    <xf numFmtId="177" fontId="8" fillId="0" borderId="150" xfId="63" applyNumberFormat="1" applyFont="1" applyFill="1" applyBorder="1" applyAlignment="1">
      <alignment vertical="center"/>
      <protection/>
    </xf>
    <xf numFmtId="184" fontId="16" fillId="0" borderId="151" xfId="63" applyNumberFormat="1" applyFont="1" applyFill="1" applyBorder="1" applyAlignment="1">
      <alignment vertical="center"/>
      <protection/>
    </xf>
    <xf numFmtId="184" fontId="16" fillId="0" borderId="106" xfId="63" applyNumberFormat="1" applyFont="1" applyFill="1" applyBorder="1" applyAlignment="1">
      <alignment vertical="center"/>
      <protection/>
    </xf>
    <xf numFmtId="0" fontId="9" fillId="0" borderId="18" xfId="63" applyNumberFormat="1" applyFont="1" applyFill="1" applyBorder="1" applyAlignment="1" applyProtection="1">
      <alignment horizontal="distributed" vertical="center"/>
      <protection locked="0"/>
    </xf>
    <xf numFmtId="178" fontId="9" fillId="0" borderId="33" xfId="63" applyNumberFormat="1" applyFont="1" applyFill="1" applyBorder="1" applyAlignment="1">
      <alignment vertical="center"/>
      <protection/>
    </xf>
    <xf numFmtId="177" fontId="8" fillId="0" borderId="152" xfId="63" applyNumberFormat="1" applyFont="1" applyFill="1" applyBorder="1" applyAlignment="1">
      <alignment vertical="center"/>
      <protection/>
    </xf>
    <xf numFmtId="177" fontId="8" fillId="0" borderId="153" xfId="63" applyNumberFormat="1" applyFont="1" applyFill="1" applyBorder="1" applyAlignment="1">
      <alignment vertical="center"/>
      <protection/>
    </xf>
    <xf numFmtId="0" fontId="5" fillId="0" borderId="0" xfId="63" applyNumberFormat="1" applyFont="1" applyFill="1" applyAlignment="1" applyProtection="1" quotePrefix="1">
      <alignment/>
      <protection locked="0"/>
    </xf>
    <xf numFmtId="184" fontId="26" fillId="0" borderId="99" xfId="48" applyNumberFormat="1" applyFont="1" applyFill="1" applyBorder="1" applyAlignment="1" applyProtection="1">
      <alignment vertical="center"/>
      <protection/>
    </xf>
    <xf numFmtId="0" fontId="14" fillId="0" borderId="0" xfId="62" applyNumberFormat="1" applyFont="1" applyFill="1" applyAlignment="1" applyProtection="1">
      <alignment/>
      <protection locked="0"/>
    </xf>
    <xf numFmtId="184" fontId="16" fillId="0" borderId="105" xfId="63" applyNumberFormat="1" applyFont="1" applyFill="1" applyBorder="1" applyAlignment="1">
      <alignment vertical="center"/>
      <protection/>
    </xf>
    <xf numFmtId="179" fontId="12" fillId="0" borderId="0" xfId="63" applyNumberFormat="1" applyFont="1" applyFill="1" applyBorder="1" applyAlignment="1">
      <alignment/>
      <protection/>
    </xf>
    <xf numFmtId="179" fontId="28" fillId="0" borderId="0" xfId="63" applyNumberFormat="1" applyFont="1" applyFill="1" applyBorder="1" applyAlignment="1">
      <alignment/>
      <protection/>
    </xf>
    <xf numFmtId="179" fontId="32" fillId="0" borderId="0" xfId="63" applyNumberFormat="1" applyFont="1" applyAlignment="1">
      <alignment/>
      <protection/>
    </xf>
    <xf numFmtId="179" fontId="28" fillId="0" borderId="0" xfId="63" applyNumberFormat="1" applyFont="1" applyAlignment="1">
      <alignment vertical="center"/>
      <protection/>
    </xf>
    <xf numFmtId="184" fontId="8" fillId="0" borderId="105" xfId="63" applyNumberFormat="1" applyFont="1" applyFill="1" applyBorder="1" applyAlignment="1">
      <alignment vertical="center"/>
      <protection/>
    </xf>
    <xf numFmtId="184" fontId="8" fillId="0" borderId="100" xfId="63" applyNumberFormat="1" applyFont="1" applyFill="1" applyBorder="1" applyAlignment="1">
      <alignment vertical="center"/>
      <protection/>
    </xf>
    <xf numFmtId="179" fontId="25" fillId="0" borderId="100" xfId="63" applyNumberFormat="1" applyFont="1" applyFill="1" applyBorder="1" applyAlignment="1">
      <alignment horizontal="center" vertical="center"/>
      <protection/>
    </xf>
    <xf numFmtId="179" fontId="33" fillId="0" borderId="0" xfId="62" applyNumberFormat="1" applyFont="1" applyFill="1" applyAlignment="1" applyProtection="1">
      <alignment horizontal="center" vertical="center"/>
      <protection/>
    </xf>
    <xf numFmtId="184" fontId="21" fillId="0" borderId="0" xfId="63" applyNumberFormat="1" applyFont="1" applyAlignment="1">
      <alignment vertical="center"/>
      <protection/>
    </xf>
    <xf numFmtId="184" fontId="9" fillId="0" borderId="14" xfId="63" applyNumberFormat="1" applyFont="1" applyFill="1" applyBorder="1" applyAlignment="1">
      <alignment vertical="center"/>
      <protection/>
    </xf>
    <xf numFmtId="178" fontId="8" fillId="0" borderId="31" xfId="63" applyNumberFormat="1" applyFont="1" applyFill="1" applyBorder="1" applyAlignment="1">
      <alignment vertical="center"/>
      <protection/>
    </xf>
    <xf numFmtId="178" fontId="8" fillId="0" borderId="32" xfId="63" applyNumberFormat="1" applyFont="1" applyFill="1" applyBorder="1" applyAlignment="1">
      <alignment vertical="center"/>
      <protection/>
    </xf>
    <xf numFmtId="178" fontId="8" fillId="0" borderId="33" xfId="63" applyNumberFormat="1" applyFont="1" applyFill="1" applyBorder="1" applyAlignment="1">
      <alignment vertical="center"/>
      <protection/>
    </xf>
    <xf numFmtId="178" fontId="9" fillId="0" borderId="32" xfId="63" applyNumberFormat="1" applyFont="1" applyFill="1" applyBorder="1" applyAlignment="1">
      <alignment vertical="center"/>
      <protection/>
    </xf>
    <xf numFmtId="178" fontId="8" fillId="0" borderId="35" xfId="63" applyNumberFormat="1" applyFont="1" applyFill="1" applyBorder="1" applyAlignment="1">
      <alignment vertical="center"/>
      <protection/>
    </xf>
    <xf numFmtId="178" fontId="8" fillId="0" borderId="51" xfId="63" applyNumberFormat="1" applyFont="1" applyFill="1" applyBorder="1" applyAlignment="1">
      <alignment vertical="center"/>
      <protection/>
    </xf>
    <xf numFmtId="177" fontId="8" fillId="0" borderId="48" xfId="63" applyNumberFormat="1" applyFont="1" applyFill="1" applyBorder="1" applyAlignment="1">
      <alignment horizontal="right" vertical="center"/>
      <protection/>
    </xf>
    <xf numFmtId="176" fontId="8" fillId="0" borderId="154" xfId="63" applyNumberFormat="1" applyFont="1" applyFill="1" applyBorder="1" applyAlignment="1">
      <alignment vertical="center"/>
      <protection/>
    </xf>
    <xf numFmtId="184" fontId="26" fillId="0" borderId="92" xfId="48" applyNumberFormat="1" applyFont="1" applyFill="1" applyBorder="1" applyAlignment="1" applyProtection="1">
      <alignment vertical="center"/>
      <protection locked="0"/>
    </xf>
    <xf numFmtId="184" fontId="26" fillId="0" borderId="99" xfId="48" applyNumberFormat="1" applyFont="1" applyFill="1" applyBorder="1" applyAlignment="1" applyProtection="1">
      <alignment vertical="center"/>
      <protection locked="0"/>
    </xf>
    <xf numFmtId="184" fontId="26" fillId="0" borderId="105" xfId="48" applyNumberFormat="1" applyFont="1" applyFill="1" applyBorder="1" applyAlignment="1" applyProtection="1">
      <alignment vertical="center"/>
      <protection locked="0"/>
    </xf>
    <xf numFmtId="184" fontId="16" fillId="0" borderId="92" xfId="63" applyNumberFormat="1" applyFont="1" applyFill="1" applyBorder="1" applyAlignment="1" applyProtection="1">
      <alignment vertical="center"/>
      <protection locked="0"/>
    </xf>
    <xf numFmtId="184" fontId="16" fillId="0" borderId="99" xfId="63" applyNumberFormat="1" applyFont="1" applyFill="1" applyBorder="1" applyAlignment="1" applyProtection="1">
      <alignment vertical="center"/>
      <protection locked="0"/>
    </xf>
    <xf numFmtId="184" fontId="8" fillId="0" borderId="0" xfId="63" applyNumberFormat="1" applyFont="1" applyFill="1" applyBorder="1" applyAlignment="1" applyProtection="1">
      <alignment vertical="center"/>
      <protection locked="0"/>
    </xf>
    <xf numFmtId="184" fontId="8" fillId="0" borderId="92" xfId="63" applyNumberFormat="1" applyFont="1" applyFill="1" applyBorder="1" applyAlignment="1" applyProtection="1">
      <alignment vertical="center"/>
      <protection locked="0"/>
    </xf>
    <xf numFmtId="184" fontId="8" fillId="0" borderId="99" xfId="63" applyNumberFormat="1" applyFont="1" applyFill="1" applyBorder="1" applyAlignment="1" applyProtection="1">
      <alignment vertical="center"/>
      <protection locked="0"/>
    </xf>
    <xf numFmtId="184" fontId="16" fillId="0" borderId="0" xfId="63" applyNumberFormat="1" applyFont="1" applyFill="1" applyBorder="1" applyAlignment="1" applyProtection="1">
      <alignment vertical="center"/>
      <protection locked="0"/>
    </xf>
    <xf numFmtId="184" fontId="16" fillId="0" borderId="100" xfId="63" applyNumberFormat="1" applyFont="1" applyFill="1" applyBorder="1" applyAlignment="1" applyProtection="1">
      <alignment vertical="center"/>
      <protection locked="0"/>
    </xf>
    <xf numFmtId="184" fontId="16" fillId="0" borderId="94" xfId="63" applyNumberFormat="1" applyFont="1" applyFill="1" applyBorder="1" applyAlignment="1" applyProtection="1">
      <alignment vertical="center"/>
      <protection locked="0"/>
    </xf>
    <xf numFmtId="184" fontId="24" fillId="0" borderId="71" xfId="63" applyNumberFormat="1" applyFont="1" applyFill="1" applyBorder="1" applyAlignment="1">
      <alignment wrapText="1"/>
      <protection/>
    </xf>
    <xf numFmtId="176" fontId="8" fillId="0" borderId="50" xfId="63" applyNumberFormat="1" applyFont="1" applyFill="1" applyBorder="1" applyAlignment="1">
      <alignment horizontal="right" vertical="center"/>
      <protection/>
    </xf>
    <xf numFmtId="0" fontId="21" fillId="0" borderId="0" xfId="63" applyNumberFormat="1" applyFont="1" applyFill="1" applyAlignment="1" applyProtection="1">
      <alignment vertical="center"/>
      <protection locked="0"/>
    </xf>
    <xf numFmtId="3" fontId="34" fillId="0" borderId="0" xfId="63" applyNumberFormat="1" applyFont="1" applyFill="1" applyBorder="1" applyAlignment="1">
      <alignment vertical="center"/>
      <protection/>
    </xf>
    <xf numFmtId="0" fontId="34" fillId="0" borderId="0" xfId="63" applyNumberFormat="1" applyFont="1" applyFill="1" applyBorder="1" applyAlignment="1">
      <alignment vertical="center"/>
      <protection/>
    </xf>
    <xf numFmtId="0" fontId="34" fillId="0" borderId="0" xfId="63" applyNumberFormat="1" applyFont="1" applyFill="1" applyAlignment="1" applyProtection="1">
      <alignment/>
      <protection locked="0"/>
    </xf>
    <xf numFmtId="0" fontId="21" fillId="0" borderId="0" xfId="63" applyNumberFormat="1" applyFont="1" applyFill="1" applyAlignment="1">
      <alignment/>
      <protection/>
    </xf>
    <xf numFmtId="0" fontId="21" fillId="0" borderId="0" xfId="63" applyNumberFormat="1" applyFont="1" applyFill="1" applyAlignment="1">
      <alignment vertical="center"/>
      <protection/>
    </xf>
    <xf numFmtId="0" fontId="12" fillId="0" borderId="0" xfId="60" applyNumberFormat="1" applyFont="1" applyFill="1" applyAlignment="1">
      <alignment vertical="center"/>
      <protection/>
    </xf>
    <xf numFmtId="0" fontId="12" fillId="0" borderId="0" xfId="60" applyFont="1" applyFill="1" applyAlignment="1">
      <alignment horizontal="center" vertical="center"/>
      <protection/>
    </xf>
    <xf numFmtId="0" fontId="12" fillId="0" borderId="0" xfId="60" applyFont="1" applyFill="1" applyAlignment="1">
      <alignment vertical="center"/>
      <protection/>
    </xf>
    <xf numFmtId="0" fontId="16" fillId="0" borderId="0" xfId="60" applyFont="1" applyFill="1" applyAlignment="1">
      <alignment vertical="center"/>
      <protection/>
    </xf>
    <xf numFmtId="0" fontId="16" fillId="0" borderId="0" xfId="60" applyFont="1" applyAlignment="1">
      <alignment vertical="center"/>
      <protection/>
    </xf>
    <xf numFmtId="0" fontId="8" fillId="0" borderId="0" xfId="60" applyNumberFormat="1" applyFont="1" applyFill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8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horizontal="right" vertical="center"/>
      <protection/>
    </xf>
    <xf numFmtId="0" fontId="8" fillId="0" borderId="0" xfId="60" applyFont="1" applyAlignment="1">
      <alignment vertical="center"/>
      <protection/>
    </xf>
    <xf numFmtId="0" fontId="8" fillId="0" borderId="66" xfId="60" applyFont="1" applyFill="1" applyBorder="1" applyAlignment="1">
      <alignment horizontal="center" vertical="center"/>
      <protection/>
    </xf>
    <xf numFmtId="0" fontId="8" fillId="0" borderId="67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93" xfId="60" applyNumberFormat="1" applyFont="1" applyFill="1" applyBorder="1" applyAlignment="1">
      <alignment horizontal="center" vertical="center"/>
      <protection/>
    </xf>
    <xf numFmtId="0" fontId="8" fillId="0" borderId="92" xfId="60" applyFont="1" applyFill="1" applyBorder="1" applyAlignment="1">
      <alignment horizontal="center" vertical="center"/>
      <protection/>
    </xf>
    <xf numFmtId="0" fontId="8" fillId="0" borderId="93" xfId="60" applyFont="1" applyFill="1" applyBorder="1" applyAlignment="1">
      <alignment horizontal="center" vertical="center"/>
      <protection/>
    </xf>
    <xf numFmtId="0" fontId="8" fillId="0" borderId="155" xfId="60" applyNumberFormat="1" applyFont="1" applyFill="1" applyBorder="1" applyAlignment="1">
      <alignment horizontal="center" vertical="center"/>
      <protection/>
    </xf>
    <xf numFmtId="0" fontId="8" fillId="0" borderId="156" xfId="60" applyFont="1" applyFill="1" applyBorder="1" applyAlignment="1">
      <alignment horizontal="center" vertical="center"/>
      <protection/>
    </xf>
    <xf numFmtId="184" fontId="8" fillId="0" borderId="155" xfId="48" applyNumberFormat="1" applyFont="1" applyFill="1" applyBorder="1" applyAlignment="1" applyProtection="1">
      <alignment vertical="center"/>
      <protection locked="0"/>
    </xf>
    <xf numFmtId="184" fontId="8" fillId="0" borderId="157" xfId="48" applyNumberFormat="1" applyFont="1" applyFill="1" applyBorder="1" applyAlignment="1">
      <alignment vertical="center"/>
    </xf>
    <xf numFmtId="184" fontId="8" fillId="0" borderId="155" xfId="48" applyNumberFormat="1" applyFont="1" applyFill="1" applyBorder="1" applyAlignment="1">
      <alignment vertical="center"/>
    </xf>
    <xf numFmtId="184" fontId="8" fillId="0" borderId="155" xfId="48" applyNumberFormat="1" applyFont="1" applyFill="1" applyBorder="1" applyAlignment="1" applyProtection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8" fillId="0" borderId="92" xfId="60" applyNumberFormat="1" applyFont="1" applyFill="1" applyBorder="1" applyAlignment="1">
      <alignment horizontal="center" vertical="center"/>
      <protection/>
    </xf>
    <xf numFmtId="184" fontId="8" fillId="0" borderId="92" xfId="48" applyNumberFormat="1" applyFont="1" applyFill="1" applyBorder="1" applyAlignment="1" applyProtection="1">
      <alignment vertical="center"/>
      <protection locked="0"/>
    </xf>
    <xf numFmtId="184" fontId="8" fillId="0" borderId="98" xfId="48" applyNumberFormat="1" applyFont="1" applyFill="1" applyBorder="1" applyAlignment="1">
      <alignment vertical="center"/>
    </xf>
    <xf numFmtId="184" fontId="8" fillId="0" borderId="92" xfId="48" applyNumberFormat="1" applyFont="1" applyFill="1" applyBorder="1" applyAlignment="1">
      <alignment vertical="center"/>
    </xf>
    <xf numFmtId="184" fontId="8" fillId="0" borderId="92" xfId="48" applyNumberFormat="1" applyFont="1" applyFill="1" applyBorder="1" applyAlignment="1" applyProtection="1">
      <alignment vertical="center"/>
      <protection/>
    </xf>
    <xf numFmtId="0" fontId="8" fillId="0" borderId="0" xfId="60" applyNumberFormat="1" applyFont="1" applyBorder="1" applyAlignment="1">
      <alignment vertical="center"/>
      <protection/>
    </xf>
    <xf numFmtId="0" fontId="8" fillId="0" borderId="158" xfId="60" applyNumberFormat="1" applyFont="1" applyFill="1" applyBorder="1" applyAlignment="1">
      <alignment horizontal="center" vertical="center"/>
      <protection/>
    </xf>
    <xf numFmtId="184" fontId="8" fillId="0" borderId="158" xfId="48" applyNumberFormat="1" applyFont="1" applyFill="1" applyBorder="1" applyAlignment="1" applyProtection="1">
      <alignment vertical="center"/>
      <protection/>
    </xf>
    <xf numFmtId="0" fontId="8" fillId="0" borderId="159" xfId="60" applyFont="1" applyFill="1" applyBorder="1" applyAlignment="1">
      <alignment horizontal="center" vertical="center"/>
      <protection/>
    </xf>
    <xf numFmtId="184" fontId="8" fillId="0" borderId="157" xfId="48" applyNumberFormat="1" applyFont="1" applyFill="1" applyBorder="1" applyAlignment="1" applyProtection="1">
      <alignment vertical="center"/>
      <protection/>
    </xf>
    <xf numFmtId="184" fontId="8" fillId="0" borderId="98" xfId="48" applyNumberFormat="1" applyFont="1" applyFill="1" applyBorder="1" applyAlignment="1" applyProtection="1">
      <alignment vertical="center"/>
      <protection/>
    </xf>
    <xf numFmtId="0" fontId="8" fillId="0" borderId="97" xfId="60" applyFont="1" applyFill="1" applyBorder="1" applyAlignment="1">
      <alignment horizontal="center" vertical="center"/>
      <protection/>
    </xf>
    <xf numFmtId="0" fontId="8" fillId="0" borderId="94" xfId="60" applyNumberFormat="1" applyFont="1" applyFill="1" applyBorder="1" applyAlignment="1">
      <alignment horizontal="center" vertical="center"/>
      <protection/>
    </xf>
    <xf numFmtId="184" fontId="8" fillId="0" borderId="94" xfId="48" applyNumberFormat="1" applyFont="1" applyFill="1" applyBorder="1" applyAlignment="1" applyProtection="1">
      <alignment vertical="center"/>
      <protection/>
    </xf>
    <xf numFmtId="184" fontId="8" fillId="0" borderId="120" xfId="48" applyNumberFormat="1" applyFont="1" applyFill="1" applyBorder="1" applyAlignment="1" applyProtection="1">
      <alignment vertic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 applyBorder="1" applyAlignment="1" applyProtection="1">
      <alignment vertical="center"/>
      <protection/>
    </xf>
    <xf numFmtId="0" fontId="8" fillId="0" borderId="111" xfId="60" applyFont="1" applyFill="1" applyBorder="1" applyAlignment="1">
      <alignment horizontal="center" vertical="center"/>
      <protection/>
    </xf>
    <xf numFmtId="0" fontId="8" fillId="0" borderId="112" xfId="60" applyNumberFormat="1" applyFont="1" applyFill="1" applyBorder="1" applyAlignment="1">
      <alignment horizontal="center" vertical="center"/>
      <protection/>
    </xf>
    <xf numFmtId="176" fontId="8" fillId="0" borderId="112" xfId="60" applyNumberFormat="1" applyFont="1" applyFill="1" applyBorder="1" applyAlignment="1">
      <alignment horizontal="right" vertical="center"/>
      <protection/>
    </xf>
    <xf numFmtId="181" fontId="8" fillId="0" borderId="112" xfId="60" applyNumberFormat="1" applyFont="1" applyFill="1" applyBorder="1" applyAlignment="1">
      <alignment vertical="center"/>
      <protection/>
    </xf>
    <xf numFmtId="181" fontId="8" fillId="0" borderId="114" xfId="60" applyNumberFormat="1" applyFont="1" applyFill="1" applyBorder="1" applyAlignment="1">
      <alignment vertical="center"/>
      <protection/>
    </xf>
    <xf numFmtId="181" fontId="8" fillId="0" borderId="112" xfId="60" applyNumberFormat="1" applyFont="1" applyFill="1" applyBorder="1" applyAlignment="1" applyProtection="1">
      <alignment vertical="center"/>
      <protection/>
    </xf>
    <xf numFmtId="0" fontId="8" fillId="0" borderId="160" xfId="60" applyFont="1" applyFill="1" applyBorder="1" applyAlignment="1">
      <alignment horizontal="center" vertical="center"/>
      <protection/>
    </xf>
    <xf numFmtId="0" fontId="8" fillId="0" borderId="161" xfId="60" applyNumberFormat="1" applyFont="1" applyFill="1" applyBorder="1" applyAlignment="1">
      <alignment horizontal="center" vertical="center"/>
      <protection/>
    </xf>
    <xf numFmtId="176" fontId="8" fillId="0" borderId="161" xfId="60" applyNumberFormat="1" applyFont="1" applyFill="1" applyBorder="1" applyAlignment="1">
      <alignment vertical="center"/>
      <protection/>
    </xf>
    <xf numFmtId="181" fontId="8" fillId="0" borderId="161" xfId="60" applyNumberFormat="1" applyFont="1" applyFill="1" applyBorder="1" applyAlignment="1">
      <alignment vertical="center"/>
      <protection/>
    </xf>
    <xf numFmtId="181" fontId="8" fillId="0" borderId="115" xfId="60" applyNumberFormat="1" applyFont="1" applyFill="1" applyBorder="1" applyAlignment="1">
      <alignment vertical="center"/>
      <protection/>
    </xf>
    <xf numFmtId="181" fontId="8" fillId="0" borderId="161" xfId="60" applyNumberFormat="1" applyFont="1" applyFill="1" applyBorder="1" applyAlignment="1" applyProtection="1">
      <alignment vertical="center"/>
      <protection/>
    </xf>
    <xf numFmtId="0" fontId="8" fillId="0" borderId="162" xfId="60" applyFont="1" applyFill="1" applyBorder="1" applyAlignment="1">
      <alignment horizontal="center" vertical="center"/>
      <protection/>
    </xf>
    <xf numFmtId="0" fontId="8" fillId="0" borderId="163" xfId="60" applyNumberFormat="1" applyFont="1" applyFill="1" applyBorder="1" applyAlignment="1">
      <alignment horizontal="center" vertical="center"/>
      <protection/>
    </xf>
    <xf numFmtId="176" fontId="8" fillId="0" borderId="163" xfId="60" applyNumberFormat="1" applyFont="1" applyFill="1" applyBorder="1" applyAlignment="1" applyProtection="1">
      <alignment vertical="center"/>
      <protection/>
    </xf>
    <xf numFmtId="181" fontId="8" fillId="0" borderId="163" xfId="60" applyNumberFormat="1" applyFont="1" applyFill="1" applyBorder="1" applyAlignment="1" applyProtection="1">
      <alignment vertical="center"/>
      <protection/>
    </xf>
    <xf numFmtId="176" fontId="8" fillId="0" borderId="161" xfId="60" applyNumberFormat="1" applyFont="1" applyFill="1" applyBorder="1" applyAlignment="1" applyProtection="1">
      <alignment vertical="center"/>
      <protection/>
    </xf>
    <xf numFmtId="0" fontId="8" fillId="0" borderId="164" xfId="60" applyFont="1" applyFill="1" applyBorder="1" applyAlignment="1">
      <alignment horizontal="center" vertical="center"/>
      <protection/>
    </xf>
    <xf numFmtId="0" fontId="8" fillId="0" borderId="165" xfId="60" applyNumberFormat="1" applyFont="1" applyFill="1" applyBorder="1" applyAlignment="1">
      <alignment horizontal="center" vertical="center"/>
      <protection/>
    </xf>
    <xf numFmtId="176" fontId="8" fillId="0" borderId="165" xfId="60" applyNumberFormat="1" applyFont="1" applyFill="1" applyBorder="1" applyAlignment="1" applyProtection="1">
      <alignment vertical="center"/>
      <protection/>
    </xf>
    <xf numFmtId="181" fontId="8" fillId="0" borderId="165" xfId="60" applyNumberFormat="1" applyFont="1" applyFill="1" applyBorder="1" applyAlignment="1" applyProtection="1">
      <alignment vertical="center"/>
      <protection/>
    </xf>
    <xf numFmtId="0" fontId="8" fillId="0" borderId="0" xfId="60" applyNumberFormat="1" applyFont="1" applyFill="1" applyBorder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38" fontId="8" fillId="0" borderId="0" xfId="48" applyFont="1" applyFill="1" applyAlignment="1">
      <alignment vertical="center"/>
    </xf>
    <xf numFmtId="179" fontId="28" fillId="0" borderId="0" xfId="62" applyNumberFormat="1" applyFont="1" applyFill="1" applyAlignment="1">
      <alignment horizontal="center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Alignment="1">
      <alignment vertical="center"/>
      <protection/>
    </xf>
    <xf numFmtId="179" fontId="8" fillId="0" borderId="0" xfId="62" applyNumberFormat="1" applyFont="1" applyFill="1" applyAlignment="1">
      <alignment horizontal="center" vertical="center"/>
      <protection/>
    </xf>
    <xf numFmtId="38" fontId="8" fillId="0" borderId="15" xfId="48" applyFont="1" applyFill="1" applyBorder="1" applyAlignment="1">
      <alignment horizontal="center" vertical="center"/>
    </xf>
    <xf numFmtId="38" fontId="8" fillId="0" borderId="166" xfId="48" applyFont="1" applyFill="1" applyBorder="1" applyAlignment="1">
      <alignment horizontal="center" vertical="center"/>
    </xf>
    <xf numFmtId="38" fontId="8" fillId="0" borderId="16" xfId="48" applyFont="1" applyFill="1" applyBorder="1" applyAlignment="1">
      <alignment horizontal="center" vertical="center"/>
    </xf>
    <xf numFmtId="179" fontId="8" fillId="0" borderId="167" xfId="62" applyNumberFormat="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184" fontId="26" fillId="0" borderId="160" xfId="48" applyNumberFormat="1" applyFont="1" applyFill="1" applyBorder="1" applyAlignment="1" applyProtection="1">
      <alignment vertical="center"/>
      <protection/>
    </xf>
    <xf numFmtId="184" fontId="26" fillId="0" borderId="161" xfId="48" applyNumberFormat="1" applyFont="1" applyFill="1" applyBorder="1" applyAlignment="1" applyProtection="1">
      <alignment vertical="center"/>
      <protection/>
    </xf>
    <xf numFmtId="184" fontId="26" fillId="0" borderId="168" xfId="48" applyNumberFormat="1" applyFont="1" applyFill="1" applyBorder="1" applyAlignment="1" applyProtection="1">
      <alignment vertical="center"/>
      <protection/>
    </xf>
    <xf numFmtId="179" fontId="26" fillId="0" borderId="0" xfId="62" applyNumberFormat="1" applyFont="1" applyFill="1" applyAlignment="1">
      <alignment horizontal="center" vertical="center"/>
      <protection/>
    </xf>
    <xf numFmtId="0" fontId="26" fillId="0" borderId="0" xfId="61" applyFont="1" applyFill="1" applyAlignment="1">
      <alignment vertical="center"/>
      <protection/>
    </xf>
    <xf numFmtId="0" fontId="26" fillId="0" borderId="0" xfId="61" applyFont="1" applyAlignment="1">
      <alignment vertical="center"/>
      <protection/>
    </xf>
    <xf numFmtId="184" fontId="35" fillId="0" borderId="164" xfId="48" applyNumberFormat="1" applyFont="1" applyFill="1" applyBorder="1" applyAlignment="1" applyProtection="1">
      <alignment vertical="center"/>
      <protection/>
    </xf>
    <xf numFmtId="184" fontId="35" fillId="0" borderId="161" xfId="48" applyNumberFormat="1" applyFont="1" applyFill="1" applyBorder="1" applyAlignment="1" applyProtection="1">
      <alignment vertical="center"/>
      <protection/>
    </xf>
    <xf numFmtId="179" fontId="36" fillId="0" borderId="97" xfId="62" applyNumberFormat="1" applyFont="1" applyFill="1" applyBorder="1" applyAlignment="1">
      <alignment horizontal="center" vertical="center"/>
      <protection/>
    </xf>
    <xf numFmtId="0" fontId="36" fillId="0" borderId="0" xfId="61" applyFont="1" applyFill="1" applyAlignment="1">
      <alignment vertical="center"/>
      <protection/>
    </xf>
    <xf numFmtId="0" fontId="36" fillId="0" borderId="0" xfId="61" applyFont="1" applyAlignment="1">
      <alignment vertical="center"/>
      <protection/>
    </xf>
    <xf numFmtId="184" fontId="35" fillId="0" borderId="112" xfId="48" applyNumberFormat="1" applyFont="1" applyFill="1" applyBorder="1" applyAlignment="1" applyProtection="1">
      <alignment/>
      <protection/>
    </xf>
    <xf numFmtId="184" fontId="35" fillId="0" borderId="122" xfId="48" applyNumberFormat="1" applyFont="1" applyFill="1" applyBorder="1" applyAlignment="1" applyProtection="1">
      <alignment/>
      <protection/>
    </xf>
    <xf numFmtId="179" fontId="31" fillId="0" borderId="66" xfId="63" applyNumberFormat="1" applyFont="1" applyFill="1" applyBorder="1" applyAlignment="1">
      <alignment horizontal="center"/>
      <protection/>
    </xf>
    <xf numFmtId="0" fontId="35" fillId="0" borderId="0" xfId="61" applyFont="1" applyFill="1" applyAlignment="1">
      <alignment/>
      <protection/>
    </xf>
    <xf numFmtId="0" fontId="35" fillId="0" borderId="0" xfId="61" applyFont="1" applyAlignment="1">
      <alignment/>
      <protection/>
    </xf>
    <xf numFmtId="184" fontId="35" fillId="0" borderId="169" xfId="48" applyNumberFormat="1" applyFont="1" applyFill="1" applyBorder="1" applyAlignment="1" applyProtection="1">
      <alignment vertical="center"/>
      <protection/>
    </xf>
    <xf numFmtId="179" fontId="31" fillId="0" borderId="93" xfId="63" applyNumberFormat="1" applyFont="1" applyFill="1" applyBorder="1" applyAlignment="1">
      <alignment horizontal="center" vertical="center"/>
      <protection/>
    </xf>
    <xf numFmtId="0" fontId="35" fillId="0" borderId="0" xfId="61" applyFont="1" applyFill="1" applyBorder="1" applyAlignment="1">
      <alignment vertical="center"/>
      <protection/>
    </xf>
    <xf numFmtId="0" fontId="35" fillId="0" borderId="0" xfId="61" applyFont="1" applyBorder="1" applyAlignment="1">
      <alignment vertical="center"/>
      <protection/>
    </xf>
    <xf numFmtId="179" fontId="26" fillId="0" borderId="0" xfId="62" applyNumberFormat="1" applyFont="1" applyFill="1" applyBorder="1" applyAlignment="1">
      <alignment vertical="center"/>
      <protection/>
    </xf>
    <xf numFmtId="179" fontId="26" fillId="0" borderId="170" xfId="62" applyNumberFormat="1" applyFont="1" applyFill="1" applyBorder="1" applyAlignment="1">
      <alignment horizontal="distributed" vertical="center"/>
      <protection/>
    </xf>
    <xf numFmtId="184" fontId="26" fillId="0" borderId="161" xfId="48" applyNumberFormat="1" applyFont="1" applyFill="1" applyBorder="1" applyAlignment="1">
      <alignment vertical="center"/>
    </xf>
    <xf numFmtId="184" fontId="26" fillId="0" borderId="169" xfId="48" applyNumberFormat="1" applyFont="1" applyFill="1" applyBorder="1" applyAlignment="1">
      <alignment vertical="center"/>
    </xf>
    <xf numFmtId="179" fontId="26" fillId="0" borderId="93" xfId="63" applyNumberFormat="1" applyFont="1" applyFill="1" applyBorder="1" applyAlignment="1">
      <alignment horizontal="center" vertical="center"/>
      <protection/>
    </xf>
    <xf numFmtId="177" fontId="31" fillId="0" borderId="66" xfId="63" applyNumberFormat="1" applyFont="1" applyFill="1" applyBorder="1" applyAlignment="1">
      <alignment horizontal="center" vertical="center"/>
      <protection/>
    </xf>
    <xf numFmtId="177" fontId="31" fillId="0" borderId="93" xfId="63" applyNumberFormat="1" applyFont="1" applyFill="1" applyBorder="1" applyAlignment="1">
      <alignment horizontal="center" vertical="center"/>
      <protection/>
    </xf>
    <xf numFmtId="179" fontId="26" fillId="0" borderId="171" xfId="62" applyNumberFormat="1" applyFont="1" applyFill="1" applyBorder="1" applyAlignment="1">
      <alignment horizontal="distributed" vertical="center"/>
      <protection/>
    </xf>
    <xf numFmtId="179" fontId="26" fillId="0" borderId="97" xfId="63" applyNumberFormat="1" applyFont="1" applyFill="1" applyBorder="1" applyAlignment="1">
      <alignment horizontal="center" vertical="center"/>
      <protection/>
    </xf>
    <xf numFmtId="184" fontId="37" fillId="0" borderId="161" xfId="48" applyNumberFormat="1" applyFont="1" applyFill="1" applyBorder="1" applyAlignment="1" applyProtection="1">
      <alignment vertical="center"/>
      <protection locked="0"/>
    </xf>
    <xf numFmtId="184" fontId="37" fillId="0" borderId="169" xfId="48" applyNumberFormat="1" applyFont="1" applyFill="1" applyBorder="1" applyAlignment="1" applyProtection="1">
      <alignment vertical="center"/>
      <protection locked="0"/>
    </xf>
    <xf numFmtId="184" fontId="26" fillId="0" borderId="161" xfId="48" applyNumberFormat="1" applyFont="1" applyFill="1" applyBorder="1" applyAlignment="1" applyProtection="1">
      <alignment horizontal="right" vertical="center"/>
      <protection locked="0"/>
    </xf>
    <xf numFmtId="184" fontId="26" fillId="0" borderId="169" xfId="48" applyNumberFormat="1" applyFont="1" applyFill="1" applyBorder="1" applyAlignment="1" applyProtection="1">
      <alignment vertical="center"/>
      <protection locked="0"/>
    </xf>
    <xf numFmtId="184" fontId="26" fillId="0" borderId="161" xfId="48" applyNumberFormat="1" applyFont="1" applyFill="1" applyBorder="1" applyAlignment="1" applyProtection="1">
      <alignment vertical="center"/>
      <protection locked="0"/>
    </xf>
    <xf numFmtId="184" fontId="26" fillId="0" borderId="168" xfId="48" applyNumberFormat="1" applyFont="1" applyFill="1" applyBorder="1" applyAlignment="1">
      <alignment vertical="center"/>
    </xf>
    <xf numFmtId="179" fontId="26" fillId="0" borderId="93" xfId="62" applyNumberFormat="1" applyFont="1" applyFill="1" applyBorder="1" applyAlignment="1" applyProtection="1">
      <alignment horizontal="center" vertical="center"/>
      <protection/>
    </xf>
    <xf numFmtId="184" fontId="26" fillId="0" borderId="169" xfId="48" applyNumberFormat="1" applyFont="1" applyFill="1" applyBorder="1" applyAlignment="1" applyProtection="1">
      <alignment horizontal="right" vertical="center"/>
      <protection locked="0"/>
    </xf>
    <xf numFmtId="38" fontId="26" fillId="0" borderId="161" xfId="48" applyFont="1" applyFill="1" applyBorder="1" applyAlignment="1" applyProtection="1">
      <alignment horizontal="right" vertical="center"/>
      <protection locked="0"/>
    </xf>
    <xf numFmtId="38" fontId="26" fillId="0" borderId="169" xfId="48" applyFont="1" applyFill="1" applyBorder="1" applyAlignment="1" applyProtection="1">
      <alignment vertical="center"/>
      <protection locked="0"/>
    </xf>
    <xf numFmtId="38" fontId="26" fillId="0" borderId="161" xfId="48" applyFont="1" applyFill="1" applyBorder="1" applyAlignment="1" applyProtection="1">
      <alignment vertical="center"/>
      <protection locked="0"/>
    </xf>
    <xf numFmtId="184" fontId="26" fillId="0" borderId="161" xfId="48" applyNumberFormat="1" applyFont="1" applyFill="1" applyBorder="1" applyAlignment="1">
      <alignment horizontal="right" vertical="center"/>
    </xf>
    <xf numFmtId="179" fontId="26" fillId="0" borderId="100" xfId="62" applyNumberFormat="1" applyFont="1" applyFill="1" applyBorder="1" applyAlignment="1">
      <alignment vertical="center"/>
      <protection/>
    </xf>
    <xf numFmtId="179" fontId="26" fillId="0" borderId="172" xfId="62" applyNumberFormat="1" applyFont="1" applyFill="1" applyBorder="1" applyAlignment="1">
      <alignment horizontal="distributed" vertical="center"/>
      <protection/>
    </xf>
    <xf numFmtId="184" fontId="26" fillId="0" borderId="165" xfId="48" applyNumberFormat="1" applyFont="1" applyFill="1" applyBorder="1" applyAlignment="1" applyProtection="1">
      <alignment vertical="center"/>
      <protection/>
    </xf>
    <xf numFmtId="184" fontId="26" fillId="0" borderId="165" xfId="48" applyNumberFormat="1" applyFont="1" applyFill="1" applyBorder="1" applyAlignment="1">
      <alignment vertical="center"/>
    </xf>
    <xf numFmtId="184" fontId="26" fillId="0" borderId="173" xfId="48" applyNumberFormat="1" applyFont="1" applyFill="1" applyBorder="1" applyAlignment="1">
      <alignment vertical="center"/>
    </xf>
    <xf numFmtId="38" fontId="26" fillId="0" borderId="0" xfId="48" applyFont="1" applyFill="1" applyAlignment="1">
      <alignment vertical="center"/>
    </xf>
    <xf numFmtId="179" fontId="26" fillId="0" borderId="90" xfId="62" applyNumberFormat="1" applyFont="1" applyFill="1" applyBorder="1" applyAlignment="1">
      <alignment horizontal="center" vertical="center"/>
      <protection/>
    </xf>
    <xf numFmtId="38" fontId="8" fillId="0" borderId="0" xfId="48" applyFont="1" applyAlignment="1">
      <alignment vertical="center"/>
    </xf>
    <xf numFmtId="179" fontId="8" fillId="0" borderId="0" xfId="62" applyNumberFormat="1" applyFont="1" applyAlignment="1">
      <alignment horizontal="center" vertical="center"/>
      <protection/>
    </xf>
    <xf numFmtId="0" fontId="28" fillId="0" borderId="0" xfId="61" applyFont="1" applyFill="1" applyAlignment="1">
      <alignment vertical="center"/>
      <protection/>
    </xf>
    <xf numFmtId="179" fontId="8" fillId="0" borderId="174" xfId="62" applyNumberFormat="1" applyFont="1" applyFill="1" applyBorder="1" applyAlignment="1">
      <alignment horizontal="center" vertical="center"/>
      <protection/>
    </xf>
    <xf numFmtId="184" fontId="26" fillId="0" borderId="161" xfId="48" applyNumberFormat="1" applyFont="1" applyFill="1" applyBorder="1" applyAlignment="1" applyProtection="1">
      <alignment horizontal="right" vertical="center"/>
      <protection/>
    </xf>
    <xf numFmtId="184" fontId="24" fillId="0" borderId="164" xfId="48" applyNumberFormat="1" applyFont="1" applyFill="1" applyBorder="1" applyAlignment="1" applyProtection="1">
      <alignment vertical="center"/>
      <protection/>
    </xf>
    <xf numFmtId="184" fontId="24" fillId="0" borderId="161" xfId="48" applyNumberFormat="1" applyFont="1" applyFill="1" applyBorder="1" applyAlignment="1" applyProtection="1">
      <alignment horizontal="right" vertical="center"/>
      <protection/>
    </xf>
    <xf numFmtId="184" fontId="24" fillId="0" borderId="168" xfId="48" applyNumberFormat="1" applyFont="1" applyFill="1" applyBorder="1" applyAlignment="1" applyProtection="1">
      <alignment vertical="center"/>
      <protection/>
    </xf>
    <xf numFmtId="179" fontId="24" fillId="0" borderId="100" xfId="62" applyNumberFormat="1" applyFont="1" applyFill="1" applyBorder="1" applyAlignment="1">
      <alignment horizontal="center" vertical="center"/>
      <protection/>
    </xf>
    <xf numFmtId="0" fontId="24" fillId="0" borderId="0" xfId="61" applyFont="1" applyFill="1" applyAlignment="1">
      <alignment vertical="center"/>
      <protection/>
    </xf>
    <xf numFmtId="0" fontId="24" fillId="0" borderId="0" xfId="61" applyFont="1" applyAlignment="1">
      <alignment vertical="center"/>
      <protection/>
    </xf>
    <xf numFmtId="184" fontId="24" fillId="0" borderId="112" xfId="48" applyNumberFormat="1" applyFont="1" applyFill="1" applyBorder="1" applyAlignment="1" applyProtection="1">
      <alignment/>
      <protection/>
    </xf>
    <xf numFmtId="184" fontId="24" fillId="0" borderId="112" xfId="48" applyNumberFormat="1" applyFont="1" applyFill="1" applyBorder="1" applyAlignment="1" applyProtection="1">
      <alignment horizontal="right"/>
      <protection/>
    </xf>
    <xf numFmtId="184" fontId="24" fillId="0" borderId="116" xfId="48" applyNumberFormat="1" applyFont="1" applyFill="1" applyBorder="1" applyAlignment="1" applyProtection="1">
      <alignment/>
      <protection/>
    </xf>
    <xf numFmtId="179" fontId="24" fillId="0" borderId="0" xfId="62" applyNumberFormat="1" applyFont="1" applyFill="1" applyAlignment="1">
      <alignment horizontal="center"/>
      <protection/>
    </xf>
    <xf numFmtId="0" fontId="24" fillId="0" borderId="0" xfId="61" applyFont="1" applyFill="1" applyAlignment="1">
      <alignment/>
      <protection/>
    </xf>
    <xf numFmtId="0" fontId="24" fillId="0" borderId="0" xfId="61" applyFont="1" applyAlignment="1">
      <alignment/>
      <protection/>
    </xf>
    <xf numFmtId="184" fontId="24" fillId="0" borderId="161" xfId="48" applyNumberFormat="1" applyFont="1" applyFill="1" applyBorder="1" applyAlignment="1" applyProtection="1">
      <alignment vertical="center"/>
      <protection/>
    </xf>
    <xf numFmtId="179" fontId="24" fillId="0" borderId="0" xfId="62" applyNumberFormat="1" applyFont="1" applyFill="1" applyBorder="1" applyAlignment="1">
      <alignment horizontal="center" vertical="center"/>
      <protection/>
    </xf>
    <xf numFmtId="177" fontId="24" fillId="0" borderId="90" xfId="62" applyNumberFormat="1" applyFont="1" applyFill="1" applyBorder="1" applyAlignment="1">
      <alignment horizontal="center"/>
      <protection/>
    </xf>
    <xf numFmtId="177" fontId="24" fillId="0" borderId="0" xfId="62" applyNumberFormat="1" applyFont="1" applyFill="1" applyBorder="1" applyAlignment="1">
      <alignment horizontal="center" vertical="center"/>
      <protection/>
    </xf>
    <xf numFmtId="179" fontId="26" fillId="0" borderId="97" xfId="62" applyNumberFormat="1" applyFont="1" applyFill="1" applyBorder="1" applyAlignment="1">
      <alignment vertical="center"/>
      <protection/>
    </xf>
    <xf numFmtId="184" fontId="38" fillId="0" borderId="161" xfId="48" applyNumberFormat="1" applyFont="1" applyFill="1" applyBorder="1" applyAlignment="1" applyProtection="1">
      <alignment vertical="center"/>
      <protection/>
    </xf>
    <xf numFmtId="184" fontId="37" fillId="0" borderId="161" xfId="48" applyNumberFormat="1" applyFont="1" applyFill="1" applyBorder="1" applyAlignment="1" applyProtection="1">
      <alignment horizontal="right" vertical="center"/>
      <protection locked="0"/>
    </xf>
    <xf numFmtId="184" fontId="38" fillId="0" borderId="161" xfId="48" applyNumberFormat="1" applyFont="1" applyFill="1" applyBorder="1" applyAlignment="1" applyProtection="1">
      <alignment vertical="center"/>
      <protection locked="0"/>
    </xf>
    <xf numFmtId="184" fontId="38" fillId="0" borderId="168" xfId="48" applyNumberFormat="1" applyFont="1" applyFill="1" applyBorder="1" applyAlignment="1" applyProtection="1">
      <alignment vertical="center"/>
      <protection locked="0"/>
    </xf>
    <xf numFmtId="184" fontId="26" fillId="0" borderId="168" xfId="48" applyNumberFormat="1" applyFont="1" applyFill="1" applyBorder="1" applyAlignment="1" applyProtection="1">
      <alignment vertical="center"/>
      <protection locked="0"/>
    </xf>
    <xf numFmtId="0" fontId="26" fillId="0" borderId="0" xfId="61" applyFont="1" applyFill="1" applyBorder="1" applyAlignment="1">
      <alignment vertical="center"/>
      <protection/>
    </xf>
    <xf numFmtId="0" fontId="26" fillId="0" borderId="0" xfId="61" applyFont="1" applyBorder="1" applyAlignment="1">
      <alignment vertical="center"/>
      <protection/>
    </xf>
    <xf numFmtId="184" fontId="37" fillId="0" borderId="168" xfId="48" applyNumberFormat="1" applyFont="1" applyFill="1" applyBorder="1" applyAlignment="1" applyProtection="1">
      <alignment horizontal="right" vertical="center"/>
      <protection locked="0"/>
    </xf>
    <xf numFmtId="179" fontId="24" fillId="0" borderId="90" xfId="62" applyNumberFormat="1" applyFont="1" applyFill="1" applyBorder="1" applyAlignment="1">
      <alignment horizontal="center"/>
      <protection/>
    </xf>
    <xf numFmtId="184" fontId="26" fillId="0" borderId="165" xfId="48" applyNumberFormat="1" applyFont="1" applyFill="1" applyBorder="1" applyAlignment="1" applyProtection="1">
      <alignment horizontal="right" vertical="center"/>
      <protection locked="0"/>
    </xf>
    <xf numFmtId="184" fontId="26" fillId="0" borderId="175" xfId="48" applyNumberFormat="1" applyFont="1" applyFill="1" applyBorder="1" applyAlignment="1">
      <alignment vertical="center"/>
    </xf>
    <xf numFmtId="3" fontId="18" fillId="0" borderId="0" xfId="64" applyNumberFormat="1" applyFont="1" applyFill="1" applyAlignment="1">
      <alignment vertical="center"/>
      <protection/>
    </xf>
    <xf numFmtId="3" fontId="8" fillId="0" borderId="0" xfId="64" applyNumberFormat="1" applyFont="1" applyFill="1" applyAlignment="1">
      <alignment vertical="center"/>
      <protection/>
    </xf>
    <xf numFmtId="3" fontId="12" fillId="0" borderId="0" xfId="64" applyNumberFormat="1" applyFont="1" applyFill="1" applyAlignment="1">
      <alignment vertical="center"/>
      <protection/>
    </xf>
    <xf numFmtId="179" fontId="12" fillId="0" borderId="0" xfId="64" applyNumberFormat="1" applyFont="1" applyFill="1" applyAlignment="1">
      <alignment vertical="center"/>
      <protection/>
    </xf>
    <xf numFmtId="179" fontId="8" fillId="0" borderId="0" xfId="64" applyNumberFormat="1" applyFont="1" applyFill="1" applyAlignment="1">
      <alignment vertical="center"/>
      <protection/>
    </xf>
    <xf numFmtId="3" fontId="8" fillId="0" borderId="0" xfId="64" applyNumberFormat="1" applyFont="1" applyFill="1" applyAlignment="1">
      <alignment horizontal="right"/>
      <protection/>
    </xf>
    <xf numFmtId="179" fontId="8" fillId="0" borderId="0" xfId="64" applyNumberFormat="1" applyFont="1" applyFill="1" applyAlignment="1">
      <alignment horizontal="right" vertical="center"/>
      <protection/>
    </xf>
    <xf numFmtId="3" fontId="8" fillId="0" borderId="0" xfId="64" applyNumberFormat="1" applyFont="1" applyFill="1" applyAlignment="1">
      <alignment horizontal="center" vertical="center"/>
      <protection/>
    </xf>
    <xf numFmtId="3" fontId="8" fillId="0" borderId="10" xfId="64" applyNumberFormat="1" applyFont="1" applyFill="1" applyBorder="1" applyAlignment="1">
      <alignment horizontal="center" vertical="center"/>
      <protection/>
    </xf>
    <xf numFmtId="3" fontId="8" fillId="0" borderId="12" xfId="64" applyNumberFormat="1" applyFont="1" applyFill="1" applyBorder="1" applyAlignment="1">
      <alignment horizontal="center" vertical="center"/>
      <protection/>
    </xf>
    <xf numFmtId="3" fontId="8" fillId="0" borderId="161" xfId="64" applyNumberFormat="1" applyFont="1" applyFill="1" applyBorder="1" applyAlignment="1" applyProtection="1">
      <alignment vertical="center"/>
      <protection/>
    </xf>
    <xf numFmtId="3" fontId="8" fillId="0" borderId="168" xfId="64" applyNumberFormat="1" applyFont="1" applyFill="1" applyBorder="1" applyAlignment="1" applyProtection="1">
      <alignment vertical="center"/>
      <protection/>
    </xf>
    <xf numFmtId="177" fontId="8" fillId="0" borderId="115" xfId="64" applyNumberFormat="1" applyFont="1" applyFill="1" applyBorder="1" applyAlignment="1" applyProtection="1">
      <alignment vertical="center"/>
      <protection/>
    </xf>
    <xf numFmtId="177" fontId="8" fillId="0" borderId="161" xfId="64" applyNumberFormat="1" applyFont="1" applyFill="1" applyBorder="1" applyAlignment="1" applyProtection="1">
      <alignment vertical="center"/>
      <protection/>
    </xf>
    <xf numFmtId="177" fontId="8" fillId="0" borderId="168" xfId="64" applyNumberFormat="1" applyFont="1" applyFill="1" applyBorder="1" applyAlignment="1" applyProtection="1">
      <alignment vertical="center"/>
      <protection/>
    </xf>
    <xf numFmtId="3" fontId="9" fillId="0" borderId="163" xfId="64" applyNumberFormat="1" applyFont="1" applyFill="1" applyBorder="1" applyAlignment="1" applyProtection="1">
      <alignment vertical="center"/>
      <protection/>
    </xf>
    <xf numFmtId="3" fontId="9" fillId="0" borderId="176" xfId="64" applyNumberFormat="1" applyFont="1" applyFill="1" applyBorder="1" applyAlignment="1" applyProtection="1">
      <alignment vertical="center"/>
      <protection/>
    </xf>
    <xf numFmtId="177" fontId="9" fillId="0" borderId="177" xfId="64" applyNumberFormat="1" applyFont="1" applyFill="1" applyBorder="1" applyAlignment="1" applyProtection="1">
      <alignment vertical="center"/>
      <protection/>
    </xf>
    <xf numFmtId="177" fontId="9" fillId="0" borderId="163" xfId="64" applyNumberFormat="1" applyFont="1" applyFill="1" applyBorder="1" applyAlignment="1" applyProtection="1">
      <alignment vertical="center"/>
      <protection/>
    </xf>
    <xf numFmtId="177" fontId="9" fillId="0" borderId="176" xfId="64" applyNumberFormat="1" applyFont="1" applyFill="1" applyBorder="1" applyAlignment="1" applyProtection="1">
      <alignment vertical="center"/>
      <protection/>
    </xf>
    <xf numFmtId="3" fontId="33" fillId="0" borderId="0" xfId="64" applyNumberFormat="1" applyFont="1" applyFill="1" applyAlignment="1">
      <alignment vertical="center"/>
      <protection/>
    </xf>
    <xf numFmtId="3" fontId="8" fillId="0" borderId="11" xfId="64" applyNumberFormat="1" applyFont="1" applyFill="1" applyBorder="1" applyAlignment="1">
      <alignment horizontal="distributed" vertical="center"/>
      <protection/>
    </xf>
    <xf numFmtId="3" fontId="8" fillId="0" borderId="10" xfId="64" applyNumberFormat="1" applyFont="1" applyFill="1" applyBorder="1" applyAlignment="1">
      <alignment horizontal="distributed" vertical="center"/>
      <protection/>
    </xf>
    <xf numFmtId="3" fontId="8" fillId="0" borderId="10" xfId="64" applyNumberFormat="1" applyFont="1" applyFill="1" applyBorder="1" applyAlignment="1">
      <alignment vertical="center"/>
      <protection/>
    </xf>
    <xf numFmtId="3" fontId="8" fillId="0" borderId="12" xfId="64" applyNumberFormat="1" applyFont="1" applyFill="1" applyBorder="1" applyAlignment="1">
      <alignment vertical="center"/>
      <protection/>
    </xf>
    <xf numFmtId="177" fontId="28" fillId="0" borderId="178" xfId="64" applyNumberFormat="1" applyFont="1" applyFill="1" applyBorder="1" applyAlignment="1">
      <alignment vertical="center"/>
      <protection/>
    </xf>
    <xf numFmtId="177" fontId="28" fillId="0" borderId="10" xfId="64" applyNumberFormat="1" applyFont="1" applyFill="1" applyBorder="1" applyAlignment="1">
      <alignment vertical="center"/>
      <protection/>
    </xf>
    <xf numFmtId="177" fontId="8" fillId="0" borderId="12" xfId="64" applyNumberFormat="1" applyFont="1" applyFill="1" applyBorder="1" applyAlignment="1">
      <alignment vertical="center"/>
      <protection/>
    </xf>
    <xf numFmtId="3" fontId="9" fillId="0" borderId="160" xfId="64" applyNumberFormat="1" applyFont="1" applyFill="1" applyBorder="1" applyAlignment="1">
      <alignment horizontal="distributed" vertical="center"/>
      <protection/>
    </xf>
    <xf numFmtId="3" fontId="33" fillId="0" borderId="161" xfId="64" applyNumberFormat="1" applyFont="1" applyFill="1" applyBorder="1" applyAlignment="1">
      <alignment vertical="center"/>
      <protection/>
    </xf>
    <xf numFmtId="177" fontId="9" fillId="0" borderId="21" xfId="64" applyNumberFormat="1" applyFont="1" applyFill="1" applyBorder="1" applyAlignment="1" applyProtection="1">
      <alignment vertical="center"/>
      <protection/>
    </xf>
    <xf numFmtId="177" fontId="9" fillId="0" borderId="179" xfId="64" applyNumberFormat="1" applyFont="1" applyFill="1" applyBorder="1" applyAlignment="1" applyProtection="1">
      <alignment vertical="center"/>
      <protection/>
    </xf>
    <xf numFmtId="3" fontId="9" fillId="0" borderId="20" xfId="64" applyNumberFormat="1" applyFont="1" applyFill="1" applyBorder="1" applyAlignment="1">
      <alignment horizontal="distributed" vertical="center"/>
      <protection/>
    </xf>
    <xf numFmtId="3" fontId="9" fillId="0" borderId="21" xfId="64" applyNumberFormat="1" applyFont="1" applyFill="1" applyBorder="1" applyAlignment="1">
      <alignment vertical="center"/>
      <protection/>
    </xf>
    <xf numFmtId="177" fontId="9" fillId="0" borderId="180" xfId="64" applyNumberFormat="1" applyFont="1" applyFill="1" applyBorder="1" applyAlignment="1" applyProtection="1">
      <alignment vertical="center"/>
      <protection/>
    </xf>
    <xf numFmtId="3" fontId="8" fillId="0" borderId="160" xfId="64" applyNumberFormat="1" applyFont="1" applyFill="1" applyBorder="1" applyAlignment="1">
      <alignment vertical="center"/>
      <protection/>
    </xf>
    <xf numFmtId="3" fontId="8" fillId="0" borderId="161" xfId="64" applyNumberFormat="1" applyFont="1" applyFill="1" applyBorder="1" applyAlignment="1">
      <alignment horizontal="distributed" vertical="center"/>
      <protection/>
    </xf>
    <xf numFmtId="177" fontId="8" fillId="0" borderId="161" xfId="64" applyNumberFormat="1" applyFont="1" applyFill="1" applyBorder="1" applyAlignment="1">
      <alignment vertical="center"/>
      <protection/>
    </xf>
    <xf numFmtId="177" fontId="8" fillId="0" borderId="168" xfId="64" applyNumberFormat="1" applyFont="1" applyFill="1" applyBorder="1" applyAlignment="1">
      <alignment vertical="center"/>
      <protection/>
    </xf>
    <xf numFmtId="3" fontId="8" fillId="0" borderId="162" xfId="64" applyNumberFormat="1" applyFont="1" applyFill="1" applyBorder="1" applyAlignment="1">
      <alignment vertical="center"/>
      <protection/>
    </xf>
    <xf numFmtId="3" fontId="8" fillId="0" borderId="163" xfId="64" applyNumberFormat="1" applyFont="1" applyFill="1" applyBorder="1" applyAlignment="1">
      <alignment vertical="center"/>
      <protection/>
    </xf>
    <xf numFmtId="177" fontId="8" fillId="0" borderId="177" xfId="64" applyNumberFormat="1" applyFont="1" applyFill="1" applyBorder="1" applyAlignment="1">
      <alignment vertical="center"/>
      <protection/>
    </xf>
    <xf numFmtId="177" fontId="8" fillId="0" borderId="163" xfId="64" applyNumberFormat="1" applyFont="1" applyFill="1" applyBorder="1" applyAlignment="1">
      <alignment vertical="center"/>
      <protection/>
    </xf>
    <xf numFmtId="177" fontId="8" fillId="0" borderId="176" xfId="64" applyNumberFormat="1" applyFont="1" applyFill="1" applyBorder="1" applyAlignment="1">
      <alignment vertical="center"/>
      <protection/>
    </xf>
    <xf numFmtId="3" fontId="9" fillId="0" borderId="161" xfId="64" applyNumberFormat="1" applyFont="1" applyFill="1" applyBorder="1" applyAlignment="1">
      <alignment vertical="center"/>
      <protection/>
    </xf>
    <xf numFmtId="3" fontId="8" fillId="0" borderId="160" xfId="64" applyNumberFormat="1" applyFont="1" applyFill="1" applyBorder="1" applyAlignment="1">
      <alignment vertical="center" shrinkToFit="1"/>
      <protection/>
    </xf>
    <xf numFmtId="3" fontId="8" fillId="0" borderId="164" xfId="64" applyNumberFormat="1" applyFont="1" applyFill="1" applyBorder="1" applyAlignment="1">
      <alignment vertical="center"/>
      <protection/>
    </xf>
    <xf numFmtId="3" fontId="8" fillId="0" borderId="165" xfId="64" applyNumberFormat="1" applyFont="1" applyFill="1" applyBorder="1" applyAlignment="1">
      <alignment vertical="center"/>
      <protection/>
    </xf>
    <xf numFmtId="3" fontId="8" fillId="0" borderId="175" xfId="64" applyNumberFormat="1" applyFont="1" applyFill="1" applyBorder="1" applyAlignment="1">
      <alignment vertical="center"/>
      <protection/>
    </xf>
    <xf numFmtId="179" fontId="8" fillId="0" borderId="181" xfId="64" applyNumberFormat="1" applyFont="1" applyFill="1" applyBorder="1" applyAlignment="1">
      <alignment vertical="center"/>
      <protection/>
    </xf>
    <xf numFmtId="179" fontId="8" fillId="0" borderId="165" xfId="64" applyNumberFormat="1" applyFont="1" applyFill="1" applyBorder="1" applyAlignment="1">
      <alignment vertical="center"/>
      <protection/>
    </xf>
    <xf numFmtId="179" fontId="8" fillId="0" borderId="175" xfId="64" applyNumberFormat="1" applyFont="1" applyFill="1" applyBorder="1" applyAlignment="1">
      <alignment vertical="center"/>
      <protection/>
    </xf>
    <xf numFmtId="0" fontId="18" fillId="0" borderId="0" xfId="64" applyFont="1" applyFill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21" fillId="0" borderId="0" xfId="64" applyFont="1" applyFill="1" applyAlignment="1">
      <alignment vertical="center"/>
      <protection/>
    </xf>
    <xf numFmtId="0" fontId="26" fillId="0" borderId="0" xfId="64" applyFont="1" applyFill="1" applyAlignment="1">
      <alignment horizontal="right"/>
      <protection/>
    </xf>
    <xf numFmtId="0" fontId="16" fillId="0" borderId="10" xfId="64" applyFont="1" applyFill="1" applyBorder="1" applyAlignment="1">
      <alignment horizontal="center" vertical="center"/>
      <protection/>
    </xf>
    <xf numFmtId="0" fontId="16" fillId="0" borderId="11" xfId="64" applyFont="1" applyFill="1" applyBorder="1" applyAlignment="1">
      <alignment horizontal="distributed" vertical="center"/>
      <protection/>
    </xf>
    <xf numFmtId="0" fontId="16" fillId="0" borderId="10" xfId="64" applyFont="1" applyFill="1" applyBorder="1" applyAlignment="1">
      <alignment horizontal="distributed" vertical="center"/>
      <protection/>
    </xf>
    <xf numFmtId="58" fontId="16" fillId="0" borderId="10" xfId="64" applyNumberFormat="1" applyFont="1" applyFill="1" applyBorder="1" applyAlignment="1">
      <alignment vertical="center"/>
      <protection/>
    </xf>
    <xf numFmtId="0" fontId="16" fillId="0" borderId="10" xfId="64" applyFont="1" applyFill="1" applyBorder="1" applyAlignment="1">
      <alignment vertical="center"/>
      <protection/>
    </xf>
    <xf numFmtId="182" fontId="16" fillId="0" borderId="10" xfId="64" applyNumberFormat="1" applyFont="1" applyFill="1" applyBorder="1" applyAlignment="1">
      <alignment vertical="center"/>
      <protection/>
    </xf>
    <xf numFmtId="0" fontId="16" fillId="0" borderId="179" xfId="64" applyFont="1" applyFill="1" applyBorder="1" applyAlignment="1">
      <alignment vertical="center"/>
      <protection/>
    </xf>
    <xf numFmtId="0" fontId="16" fillId="0" borderId="12" xfId="64" applyFont="1" applyFill="1" applyBorder="1" applyAlignment="1">
      <alignment vertical="center"/>
      <protection/>
    </xf>
    <xf numFmtId="185" fontId="16" fillId="0" borderId="10" xfId="64" applyNumberFormat="1" applyFont="1" applyFill="1" applyBorder="1" applyAlignment="1">
      <alignment vertical="center"/>
      <protection/>
    </xf>
    <xf numFmtId="0" fontId="12" fillId="0" borderId="18" xfId="64" applyFont="1" applyFill="1" applyBorder="1" applyAlignment="1">
      <alignment horizontal="center" vertical="center"/>
      <protection/>
    </xf>
    <xf numFmtId="0" fontId="12" fillId="0" borderId="13" xfId="64" applyFont="1" applyFill="1" applyBorder="1" applyAlignment="1">
      <alignment vertical="center"/>
      <protection/>
    </xf>
    <xf numFmtId="58" fontId="12" fillId="0" borderId="13" xfId="64" applyNumberFormat="1" applyFont="1" applyFill="1" applyBorder="1" applyAlignment="1">
      <alignment vertical="center"/>
      <protection/>
    </xf>
    <xf numFmtId="4" fontId="12" fillId="0" borderId="14" xfId="64" applyNumberFormat="1" applyFont="1" applyFill="1" applyBorder="1" applyAlignment="1">
      <alignment vertical="center"/>
      <protection/>
    </xf>
    <xf numFmtId="0" fontId="40" fillId="0" borderId="0" xfId="64" applyFont="1" applyFill="1" applyAlignment="1">
      <alignment vertical="center"/>
      <protection/>
    </xf>
    <xf numFmtId="0" fontId="41" fillId="0" borderId="0" xfId="63" applyNumberFormat="1" applyFont="1" applyFill="1" applyAlignment="1" applyProtection="1">
      <alignment horizontal="center" vertical="center"/>
      <protection locked="0"/>
    </xf>
    <xf numFmtId="177" fontId="39" fillId="0" borderId="74" xfId="63" applyNumberFormat="1" applyFont="1" applyFill="1" applyBorder="1" applyAlignment="1" applyProtection="1">
      <alignment vertical="center"/>
      <protection/>
    </xf>
    <xf numFmtId="177" fontId="11" fillId="0" borderId="31" xfId="63" applyNumberFormat="1" applyFont="1" applyFill="1" applyBorder="1" applyAlignment="1">
      <alignment vertical="center"/>
      <protection/>
    </xf>
    <xf numFmtId="177" fontId="39" fillId="0" borderId="35" xfId="63" applyNumberFormat="1" applyFont="1" applyFill="1" applyBorder="1" applyAlignment="1" applyProtection="1">
      <alignment/>
      <protection/>
    </xf>
    <xf numFmtId="177" fontId="40" fillId="0" borderId="74" xfId="63" applyNumberFormat="1" applyFont="1" applyFill="1" applyBorder="1" applyAlignment="1" applyProtection="1">
      <alignment vertical="center"/>
      <protection/>
    </xf>
    <xf numFmtId="179" fontId="26" fillId="0" borderId="93" xfId="62" applyNumberFormat="1" applyFont="1" applyFill="1" applyBorder="1" applyAlignment="1" applyProtection="1">
      <alignment vertical="center"/>
      <protection/>
    </xf>
    <xf numFmtId="179" fontId="26" fillId="0" borderId="182" xfId="62" applyNumberFormat="1" applyFont="1" applyFill="1" applyBorder="1" applyAlignment="1" applyProtection="1">
      <alignment vertical="center"/>
      <protection/>
    </xf>
    <xf numFmtId="179" fontId="26" fillId="0" borderId="109" xfId="62" applyNumberFormat="1" applyFont="1" applyFill="1" applyBorder="1" applyAlignment="1" applyProtection="1">
      <alignment vertical="center"/>
      <protection/>
    </xf>
    <xf numFmtId="179" fontId="26" fillId="0" borderId="143" xfId="62" applyNumberFormat="1" applyFont="1" applyFill="1" applyBorder="1" applyAlignment="1" applyProtection="1">
      <alignment vertical="center"/>
      <protection/>
    </xf>
    <xf numFmtId="184" fontId="9" fillId="0" borderId="183" xfId="63" applyNumberFormat="1" applyFont="1" applyFill="1" applyBorder="1" applyAlignment="1" applyProtection="1">
      <alignment/>
      <protection/>
    </xf>
    <xf numFmtId="184" fontId="9" fillId="0" borderId="183" xfId="63" applyNumberFormat="1" applyFont="1" applyFill="1" applyBorder="1" applyAlignment="1" applyProtection="1">
      <alignment wrapText="1"/>
      <protection/>
    </xf>
    <xf numFmtId="184" fontId="30" fillId="0" borderId="0" xfId="63" applyNumberFormat="1" applyFont="1" applyFill="1" applyBorder="1" applyAlignment="1" applyProtection="1">
      <alignment vertical="center"/>
      <protection/>
    </xf>
    <xf numFmtId="179" fontId="16" fillId="0" borderId="93" xfId="62" applyNumberFormat="1" applyFont="1" applyFill="1" applyBorder="1" applyAlignment="1" applyProtection="1">
      <alignment vertical="center"/>
      <protection/>
    </xf>
    <xf numFmtId="179" fontId="16" fillId="0" borderId="182" xfId="62" applyNumberFormat="1" applyFont="1" applyFill="1" applyBorder="1" applyAlignment="1" applyProtection="1">
      <alignment vertical="center"/>
      <protection/>
    </xf>
    <xf numFmtId="179" fontId="16" fillId="0" borderId="97" xfId="62" applyNumberFormat="1" applyFont="1" applyFill="1" applyBorder="1" applyAlignment="1" applyProtection="1">
      <alignment vertical="center"/>
      <protection/>
    </xf>
    <xf numFmtId="179" fontId="26" fillId="0" borderId="184" xfId="62" applyNumberFormat="1" applyFont="1" applyFill="1" applyBorder="1" applyAlignment="1" applyProtection="1">
      <alignment horizontal="distributed" vertical="center"/>
      <protection/>
    </xf>
    <xf numFmtId="179" fontId="26" fillId="0" borderId="93" xfId="62" applyNumberFormat="1" applyFont="1" applyFill="1" applyBorder="1" applyAlignment="1">
      <alignment vertical="center"/>
      <protection/>
    </xf>
    <xf numFmtId="179" fontId="26" fillId="0" borderId="182" xfId="62" applyNumberFormat="1" applyFont="1" applyFill="1" applyBorder="1" applyAlignment="1">
      <alignment vertical="center"/>
      <protection/>
    </xf>
    <xf numFmtId="184" fontId="8" fillId="0" borderId="67" xfId="63" applyNumberFormat="1" applyFont="1" applyFill="1" applyBorder="1" applyAlignment="1" applyProtection="1">
      <alignment vertical="center"/>
      <protection/>
    </xf>
    <xf numFmtId="184" fontId="9" fillId="0" borderId="122" xfId="63" applyNumberFormat="1" applyFont="1" applyFill="1" applyBorder="1" applyAlignment="1" applyProtection="1">
      <alignment/>
      <protection/>
    </xf>
    <xf numFmtId="177" fontId="8" fillId="0" borderId="185" xfId="63" applyNumberFormat="1" applyFont="1" applyFill="1" applyBorder="1" applyAlignment="1">
      <alignment vertical="center"/>
      <protection/>
    </xf>
    <xf numFmtId="177" fontId="8" fillId="0" borderId="186" xfId="63" applyNumberFormat="1" applyFont="1" applyFill="1" applyBorder="1" applyAlignment="1">
      <alignment vertical="center"/>
      <protection/>
    </xf>
    <xf numFmtId="3" fontId="8" fillId="0" borderId="187" xfId="63" applyNumberFormat="1" applyFont="1" applyFill="1" applyBorder="1" applyAlignment="1">
      <alignment horizontal="distributed" vertical="center"/>
      <protection/>
    </xf>
    <xf numFmtId="177" fontId="8" fillId="0" borderId="188" xfId="63" applyNumberFormat="1" applyFont="1" applyFill="1" applyBorder="1" applyAlignment="1">
      <alignment vertical="center"/>
      <protection/>
    </xf>
    <xf numFmtId="177" fontId="8" fillId="0" borderId="189" xfId="63" applyNumberFormat="1" applyFont="1" applyFill="1" applyBorder="1" applyAlignment="1">
      <alignment vertical="center"/>
      <protection/>
    </xf>
    <xf numFmtId="9" fontId="8" fillId="0" borderId="190" xfId="63" applyNumberFormat="1" applyFont="1" applyFill="1" applyBorder="1" applyAlignment="1">
      <alignment vertical="center"/>
      <protection/>
    </xf>
    <xf numFmtId="177" fontId="8" fillId="0" borderId="190" xfId="63" applyNumberFormat="1" applyFont="1" applyFill="1" applyBorder="1" applyAlignment="1">
      <alignment vertical="center"/>
      <protection/>
    </xf>
    <xf numFmtId="177" fontId="8" fillId="0" borderId="191" xfId="63" applyNumberFormat="1" applyFont="1" applyFill="1" applyBorder="1" applyAlignment="1">
      <alignment vertical="center"/>
      <protection/>
    </xf>
    <xf numFmtId="177" fontId="8" fillId="0" borderId="192" xfId="63" applyNumberFormat="1" applyFont="1" applyFill="1" applyBorder="1" applyAlignment="1">
      <alignment vertical="center"/>
      <protection/>
    </xf>
    <xf numFmtId="3" fontId="21" fillId="0" borderId="0" xfId="63" applyNumberFormat="1" applyFont="1" applyFill="1" applyBorder="1" applyAlignment="1">
      <alignment vertical="center"/>
      <protection/>
    </xf>
    <xf numFmtId="3" fontId="21" fillId="0" borderId="0" xfId="63" applyNumberFormat="1" applyFont="1" applyFill="1" applyAlignment="1">
      <alignment vertical="center"/>
      <protection/>
    </xf>
    <xf numFmtId="0" fontId="21" fillId="0" borderId="0" xfId="63" applyFont="1" applyFill="1" applyAlignment="1">
      <alignment vertical="center"/>
      <protection/>
    </xf>
    <xf numFmtId="0" fontId="0" fillId="0" borderId="0" xfId="0" applyFill="1" applyAlignment="1">
      <alignment/>
    </xf>
    <xf numFmtId="0" fontId="0" fillId="0" borderId="193" xfId="0" applyNumberFormat="1" applyFill="1" applyBorder="1" applyAlignment="1">
      <alignment/>
    </xf>
    <xf numFmtId="184" fontId="26" fillId="0" borderId="120" xfId="48" applyNumberFormat="1" applyFont="1" applyFill="1" applyBorder="1" applyAlignment="1" applyProtection="1">
      <alignment vertical="center"/>
      <protection/>
    </xf>
    <xf numFmtId="184" fontId="26" fillId="0" borderId="94" xfId="48" applyNumberFormat="1" applyFont="1" applyFill="1" applyBorder="1" applyAlignment="1" applyProtection="1">
      <alignment vertical="center"/>
      <protection/>
    </xf>
    <xf numFmtId="184" fontId="26" fillId="0" borderId="121" xfId="48" applyNumberFormat="1" applyFont="1" applyFill="1" applyBorder="1" applyAlignment="1" applyProtection="1">
      <alignment vertical="center"/>
      <protection/>
    </xf>
    <xf numFmtId="179" fontId="8" fillId="0" borderId="194" xfId="63" applyNumberFormat="1" applyFont="1" applyFill="1" applyBorder="1" applyAlignment="1">
      <alignment horizontal="center" vertical="center"/>
      <protection/>
    </xf>
    <xf numFmtId="184" fontId="8" fillId="0" borderId="135" xfId="63" applyNumberFormat="1" applyFont="1" applyFill="1" applyBorder="1" applyAlignment="1" applyProtection="1">
      <alignment vertical="center"/>
      <protection/>
    </xf>
    <xf numFmtId="184" fontId="8" fillId="0" borderId="145" xfId="63" applyNumberFormat="1" applyFont="1" applyFill="1" applyBorder="1" applyAlignment="1" applyProtection="1">
      <alignment vertical="center"/>
      <protection/>
    </xf>
    <xf numFmtId="0" fontId="8" fillId="0" borderId="157" xfId="60" applyNumberFormat="1" applyFont="1" applyFill="1" applyBorder="1" applyAlignment="1">
      <alignment horizontal="center" vertical="center"/>
      <protection/>
    </xf>
    <xf numFmtId="184" fontId="8" fillId="0" borderId="195" xfId="48" applyNumberFormat="1" applyFont="1" applyFill="1" applyBorder="1" applyAlignment="1" applyProtection="1">
      <alignment vertical="center"/>
      <protection/>
    </xf>
    <xf numFmtId="184" fontId="8" fillId="0" borderId="135" xfId="48" applyNumberFormat="1" applyFont="1" applyFill="1" applyBorder="1" applyAlignment="1" applyProtection="1">
      <alignment vertical="center"/>
      <protection/>
    </xf>
    <xf numFmtId="184" fontId="8" fillId="0" borderId="145" xfId="48" applyNumberFormat="1" applyFont="1" applyFill="1" applyBorder="1" applyAlignment="1" applyProtection="1">
      <alignment vertical="center"/>
      <protection/>
    </xf>
    <xf numFmtId="0" fontId="8" fillId="0" borderId="135" xfId="60" applyNumberFormat="1" applyFont="1" applyFill="1" applyBorder="1" applyAlignment="1" applyProtection="1">
      <alignment vertical="center"/>
      <protection/>
    </xf>
    <xf numFmtId="181" fontId="8" fillId="0" borderId="113" xfId="60" applyNumberFormat="1" applyFont="1" applyFill="1" applyBorder="1" applyAlignment="1" applyProtection="1">
      <alignment vertical="center"/>
      <protection/>
    </xf>
    <xf numFmtId="181" fontId="8" fillId="0" borderId="196" xfId="60" applyNumberFormat="1" applyFont="1" applyFill="1" applyBorder="1" applyAlignment="1" applyProtection="1">
      <alignment vertical="center"/>
      <protection/>
    </xf>
    <xf numFmtId="181" fontId="8" fillId="0" borderId="197" xfId="60" applyNumberFormat="1" applyFont="1" applyFill="1" applyBorder="1" applyAlignment="1" applyProtection="1">
      <alignment vertical="center"/>
      <protection/>
    </xf>
    <xf numFmtId="181" fontId="8" fillId="0" borderId="198" xfId="60" applyNumberFormat="1" applyFont="1" applyFill="1" applyBorder="1" applyAlignment="1" applyProtection="1">
      <alignment vertical="center"/>
      <protection/>
    </xf>
    <xf numFmtId="0" fontId="8" fillId="0" borderId="199" xfId="60" applyNumberFormat="1" applyFont="1" applyFill="1" applyBorder="1" applyAlignment="1">
      <alignment horizontal="center" vertical="center"/>
      <protection/>
    </xf>
    <xf numFmtId="184" fontId="8" fillId="0" borderId="200" xfId="48" applyNumberFormat="1" applyFont="1" applyFill="1" applyBorder="1" applyAlignment="1">
      <alignment vertical="center"/>
    </xf>
    <xf numFmtId="184" fontId="8" fillId="0" borderId="135" xfId="48" applyNumberFormat="1" applyFont="1" applyFill="1" applyBorder="1" applyAlignment="1">
      <alignment vertical="center"/>
    </xf>
    <xf numFmtId="184" fontId="8" fillId="0" borderId="201" xfId="48" applyNumberFormat="1" applyFont="1" applyFill="1" applyBorder="1" applyAlignment="1" applyProtection="1">
      <alignment vertical="center"/>
      <protection/>
    </xf>
    <xf numFmtId="184" fontId="8" fillId="0" borderId="199" xfId="48" applyNumberFormat="1" applyFont="1" applyFill="1" applyBorder="1" applyAlignment="1" applyProtection="1">
      <alignment vertical="center"/>
      <protection/>
    </xf>
    <xf numFmtId="184" fontId="8" fillId="0" borderId="100" xfId="48" applyNumberFormat="1" applyFont="1" applyFill="1" applyBorder="1" applyAlignment="1" applyProtection="1">
      <alignment vertical="center"/>
      <protection/>
    </xf>
    <xf numFmtId="181" fontId="8" fillId="0" borderId="177" xfId="60" applyNumberFormat="1" applyFont="1" applyFill="1" applyBorder="1" applyAlignment="1" applyProtection="1">
      <alignment vertical="center"/>
      <protection/>
    </xf>
    <xf numFmtId="181" fontId="8" fillId="0" borderId="115" xfId="60" applyNumberFormat="1" applyFont="1" applyFill="1" applyBorder="1" applyAlignment="1" applyProtection="1">
      <alignment vertical="center"/>
      <protection/>
    </xf>
    <xf numFmtId="181" fontId="8" fillId="0" borderId="181" xfId="60" applyNumberFormat="1" applyFont="1" applyFill="1" applyBorder="1" applyAlignment="1" applyProtection="1">
      <alignment vertical="center"/>
      <protection/>
    </xf>
    <xf numFmtId="184" fontId="8" fillId="0" borderId="157" xfId="48" applyNumberFormat="1" applyFont="1" applyFill="1" applyBorder="1" applyAlignment="1" applyProtection="1">
      <alignment vertical="center"/>
      <protection locked="0"/>
    </xf>
    <xf numFmtId="184" fontId="8" fillId="0" borderId="98" xfId="48" applyNumberFormat="1" applyFont="1" applyFill="1" applyBorder="1" applyAlignment="1" applyProtection="1">
      <alignment vertical="center"/>
      <protection locked="0"/>
    </xf>
    <xf numFmtId="181" fontId="8" fillId="0" borderId="113" xfId="60" applyNumberFormat="1" applyFont="1" applyFill="1" applyBorder="1" applyAlignment="1">
      <alignment vertical="center"/>
      <protection/>
    </xf>
    <xf numFmtId="181" fontId="8" fillId="0" borderId="196" xfId="60" applyNumberFormat="1" applyFont="1" applyFill="1" applyBorder="1" applyAlignment="1">
      <alignment vertical="center"/>
      <protection/>
    </xf>
    <xf numFmtId="0" fontId="8" fillId="0" borderId="202" xfId="60" applyFont="1" applyFill="1" applyBorder="1" applyAlignment="1">
      <alignment vertical="center"/>
      <protection/>
    </xf>
    <xf numFmtId="179" fontId="8" fillId="0" borderId="107" xfId="62" applyNumberFormat="1" applyFont="1" applyFill="1" applyBorder="1" applyAlignment="1" applyProtection="1">
      <alignment horizontal="center" vertical="center"/>
      <protection/>
    </xf>
    <xf numFmtId="184" fontId="9" fillId="0" borderId="98" xfId="62" applyNumberFormat="1" applyFont="1" applyFill="1" applyBorder="1" applyAlignment="1" applyProtection="1">
      <alignment vertical="center"/>
      <protection/>
    </xf>
    <xf numFmtId="184" fontId="44" fillId="0" borderId="10" xfId="63" applyNumberFormat="1" applyFont="1" applyFill="1" applyBorder="1" applyAlignment="1" applyProtection="1">
      <alignment vertical="center"/>
      <protection/>
    </xf>
    <xf numFmtId="0" fontId="5" fillId="0" borderId="203" xfId="63" applyNumberFormat="1" applyFont="1" applyFill="1" applyBorder="1" applyAlignment="1" applyProtection="1">
      <alignment horizontal="center"/>
      <protection locked="0"/>
    </xf>
    <xf numFmtId="0" fontId="3" fillId="0" borderId="204" xfId="63" applyNumberFormat="1" applyFont="1" applyFill="1" applyBorder="1" applyAlignment="1" applyProtection="1">
      <alignment horizontal="center"/>
      <protection locked="0"/>
    </xf>
    <xf numFmtId="0" fontId="5" fillId="0" borderId="204" xfId="63" applyNumberFormat="1" applyFont="1" applyFill="1" applyBorder="1" applyAlignment="1" applyProtection="1">
      <alignment horizontal="center"/>
      <protection locked="0"/>
    </xf>
    <xf numFmtId="0" fontId="8" fillId="0" borderId="111" xfId="63" applyNumberFormat="1" applyFont="1" applyFill="1" applyBorder="1" applyAlignment="1" applyProtection="1">
      <alignment horizontal="center" vertical="center"/>
      <protection locked="0"/>
    </xf>
    <xf numFmtId="0" fontId="3" fillId="0" borderId="162" xfId="63" applyNumberFormat="1" applyFont="1" applyFill="1" applyBorder="1" applyAlignment="1" applyProtection="1">
      <alignment horizontal="center" vertical="center"/>
      <protection locked="0"/>
    </xf>
    <xf numFmtId="0" fontId="8" fillId="0" borderId="112" xfId="63" applyNumberFormat="1" applyFont="1" applyFill="1" applyBorder="1" applyAlignment="1" applyProtection="1">
      <alignment horizontal="center" vertical="center"/>
      <protection locked="0"/>
    </xf>
    <xf numFmtId="0" fontId="3" fillId="0" borderId="163" xfId="63" applyNumberFormat="1" applyFont="1" applyFill="1" applyBorder="1" applyAlignment="1" applyProtection="1">
      <alignment horizontal="center" vertical="center"/>
      <protection locked="0"/>
    </xf>
    <xf numFmtId="0" fontId="8" fillId="0" borderId="203" xfId="63" applyNumberFormat="1" applyFont="1" applyFill="1" applyBorder="1" applyAlignment="1" applyProtection="1">
      <alignment horizontal="center" vertical="center"/>
      <protection locked="0"/>
    </xf>
    <xf numFmtId="0" fontId="8" fillId="0" borderId="174" xfId="63" applyNumberFormat="1" applyFont="1" applyFill="1" applyBorder="1" applyAlignment="1" applyProtection="1">
      <alignment horizontal="center" vertical="center"/>
      <protection locked="0"/>
    </xf>
    <xf numFmtId="0" fontId="8" fillId="0" borderId="204" xfId="63" applyNumberFormat="1" applyFont="1" applyFill="1" applyBorder="1" applyAlignment="1" applyProtection="1">
      <alignment horizontal="center" vertical="center"/>
      <protection locked="0"/>
    </xf>
    <xf numFmtId="0" fontId="8" fillId="0" borderId="205" xfId="63" applyNumberFormat="1" applyFont="1" applyFill="1" applyBorder="1" applyAlignment="1" applyProtection="1">
      <alignment horizontal="center" vertical="center"/>
      <protection locked="0"/>
    </xf>
    <xf numFmtId="0" fontId="34" fillId="0" borderId="0" xfId="63" applyNumberFormat="1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116" xfId="63" applyNumberFormat="1" applyFont="1" applyFill="1" applyBorder="1" applyAlignment="1" applyProtection="1">
      <alignment horizontal="center" vertical="center"/>
      <protection locked="0"/>
    </xf>
    <xf numFmtId="0" fontId="5" fillId="0" borderId="176" xfId="63" applyNumberFormat="1" applyFont="1" applyFill="1" applyBorder="1" applyAlignment="1" applyProtection="1">
      <alignment horizontal="center" vertical="center"/>
      <protection locked="0"/>
    </xf>
    <xf numFmtId="0" fontId="5" fillId="0" borderId="111" xfId="63" applyNumberFormat="1" applyFont="1" applyFill="1" applyBorder="1" applyAlignment="1" applyProtection="1">
      <alignment horizontal="center" vertical="center"/>
      <protection locked="0"/>
    </xf>
    <xf numFmtId="0" fontId="5" fillId="0" borderId="162" xfId="63" applyNumberFormat="1" applyFont="1" applyFill="1" applyBorder="1" applyAlignment="1" applyProtection="1">
      <alignment horizontal="center" vertical="center"/>
      <protection locked="0"/>
    </xf>
    <xf numFmtId="0" fontId="5" fillId="0" borderId="112" xfId="63" applyNumberFormat="1" applyFont="1" applyFill="1" applyBorder="1" applyAlignment="1" applyProtection="1">
      <alignment horizontal="center" vertical="center"/>
      <protection locked="0"/>
    </xf>
    <xf numFmtId="0" fontId="5" fillId="0" borderId="163" xfId="63" applyNumberFormat="1" applyFont="1" applyFill="1" applyBorder="1" applyAlignment="1" applyProtection="1">
      <alignment horizontal="center" vertical="center"/>
      <protection locked="0"/>
    </xf>
    <xf numFmtId="0" fontId="5" fillId="0" borderId="203" xfId="63" applyNumberFormat="1" applyFont="1" applyFill="1" applyBorder="1" applyAlignment="1" applyProtection="1">
      <alignment horizontal="center" vertical="center"/>
      <protection locked="0"/>
    </xf>
    <xf numFmtId="0" fontId="5" fillId="0" borderId="174" xfId="63" applyNumberFormat="1" applyFont="1" applyFill="1" applyBorder="1" applyAlignment="1" applyProtection="1">
      <alignment horizontal="center" vertical="center"/>
      <protection locked="0"/>
    </xf>
    <xf numFmtId="0" fontId="5" fillId="0" borderId="204" xfId="63" applyNumberFormat="1" applyFont="1" applyFill="1" applyBorder="1" applyAlignment="1" applyProtection="1">
      <alignment horizontal="center" vertical="center"/>
      <protection locked="0"/>
    </xf>
    <xf numFmtId="0" fontId="8" fillId="0" borderId="206" xfId="63" applyNumberFormat="1" applyFont="1" applyFill="1" applyBorder="1" applyAlignment="1" applyProtection="1">
      <alignment horizontal="distributed" vertical="center"/>
      <protection locked="0"/>
    </xf>
    <xf numFmtId="0" fontId="3" fillId="0" borderId="207" xfId="63" applyNumberFormat="1" applyFont="1" applyFill="1" applyBorder="1" applyAlignment="1" applyProtection="1">
      <alignment vertical="center"/>
      <protection locked="0"/>
    </xf>
    <xf numFmtId="0" fontId="9" fillId="0" borderId="208" xfId="63" applyNumberFormat="1" applyFont="1" applyFill="1" applyBorder="1" applyAlignment="1" applyProtection="1">
      <alignment horizontal="center" vertical="center"/>
      <protection locked="0"/>
    </xf>
    <xf numFmtId="0" fontId="3" fillId="0" borderId="209" xfId="63" applyNumberFormat="1" applyFont="1" applyFill="1" applyBorder="1" applyAlignment="1" applyProtection="1">
      <alignment vertical="center"/>
      <protection locked="0"/>
    </xf>
    <xf numFmtId="0" fontId="8" fillId="0" borderId="138" xfId="63" applyNumberFormat="1" applyFont="1" applyFill="1" applyBorder="1" applyAlignment="1" applyProtection="1">
      <alignment vertical="center"/>
      <protection locked="0"/>
    </xf>
    <xf numFmtId="0" fontId="3" fillId="0" borderId="210" xfId="63" applyNumberFormat="1" applyFont="1" applyFill="1" applyBorder="1" applyAlignment="1" applyProtection="1">
      <alignment vertical="center"/>
      <protection locked="0"/>
    </xf>
    <xf numFmtId="0" fontId="8" fillId="0" borderId="138" xfId="63" applyNumberFormat="1" applyFont="1" applyFill="1" applyBorder="1" applyAlignment="1" applyProtection="1">
      <alignment horizontal="distributed" vertical="center"/>
      <protection locked="0"/>
    </xf>
    <xf numFmtId="0" fontId="8" fillId="0" borderId="102" xfId="63" applyFont="1" applyFill="1" applyBorder="1" applyAlignment="1">
      <alignment horizontal="center" vertical="center"/>
      <protection/>
    </xf>
    <xf numFmtId="0" fontId="8" fillId="0" borderId="71" xfId="63" applyFont="1" applyFill="1" applyBorder="1" applyAlignment="1">
      <alignment horizontal="center" vertical="center"/>
      <protection/>
    </xf>
    <xf numFmtId="0" fontId="9" fillId="0" borderId="57" xfId="63" applyFont="1" applyFill="1" applyBorder="1" applyAlignment="1">
      <alignment horizontal="distributed" vertical="center"/>
      <protection/>
    </xf>
    <xf numFmtId="0" fontId="3" fillId="0" borderId="211" xfId="63" applyNumberFormat="1" applyFont="1" applyFill="1" applyBorder="1" applyAlignment="1" applyProtection="1">
      <alignment horizontal="distributed" vertical="center"/>
      <protection locked="0"/>
    </xf>
    <xf numFmtId="0" fontId="9" fillId="0" borderId="29" xfId="63" applyFont="1" applyFill="1" applyBorder="1" applyAlignment="1">
      <alignment horizontal="distributed" vertical="center"/>
      <protection/>
    </xf>
    <xf numFmtId="0" fontId="3" fillId="0" borderId="34" xfId="63" applyNumberFormat="1" applyFont="1" applyFill="1" applyBorder="1" applyAlignment="1" applyProtection="1">
      <alignment horizontal="distributed" vertical="center"/>
      <protection locked="0"/>
    </xf>
    <xf numFmtId="0" fontId="8" fillId="0" borderId="66" xfId="63" applyFont="1" applyFill="1" applyBorder="1" applyAlignment="1">
      <alignment horizontal="center" vertical="center"/>
      <protection/>
    </xf>
    <xf numFmtId="0" fontId="8" fillId="0" borderId="183" xfId="63" applyFont="1" applyFill="1" applyBorder="1" applyAlignment="1">
      <alignment horizontal="center" vertical="center"/>
      <protection/>
    </xf>
    <xf numFmtId="0" fontId="8" fillId="0" borderId="159" xfId="63" applyFont="1" applyFill="1" applyBorder="1" applyAlignment="1">
      <alignment horizontal="center" vertical="center"/>
      <protection/>
    </xf>
    <xf numFmtId="0" fontId="8" fillId="0" borderId="212" xfId="63" applyFont="1" applyFill="1" applyBorder="1" applyAlignment="1">
      <alignment horizontal="center" vertical="center"/>
      <protection/>
    </xf>
    <xf numFmtId="0" fontId="8" fillId="0" borderId="206" xfId="63" applyFont="1" applyFill="1" applyBorder="1" applyAlignment="1">
      <alignment horizontal="distributed" vertical="center"/>
      <protection/>
    </xf>
    <xf numFmtId="0" fontId="3" fillId="0" borderId="207" xfId="63" applyNumberFormat="1" applyFont="1" applyFill="1" applyBorder="1" applyAlignment="1" applyProtection="1">
      <alignment horizontal="distributed" vertical="center"/>
      <protection locked="0"/>
    </xf>
    <xf numFmtId="0" fontId="8" fillId="0" borderId="29" xfId="63" applyFont="1" applyFill="1" applyBorder="1" applyAlignment="1">
      <alignment horizontal="distributed" vertical="center"/>
      <protection/>
    </xf>
    <xf numFmtId="0" fontId="8" fillId="0" borderId="89" xfId="63" applyFont="1" applyFill="1" applyBorder="1" applyAlignment="1">
      <alignment horizontal="distributed" vertical="center"/>
      <protection/>
    </xf>
    <xf numFmtId="0" fontId="3" fillId="0" borderId="213" xfId="63" applyNumberFormat="1" applyFont="1" applyFill="1" applyBorder="1" applyAlignment="1" applyProtection="1">
      <alignment horizontal="distributed" vertical="center"/>
      <protection locked="0"/>
    </xf>
    <xf numFmtId="0" fontId="8" fillId="0" borderId="122" xfId="63" applyNumberFormat="1" applyFont="1" applyFill="1" applyBorder="1" applyAlignment="1" applyProtection="1">
      <alignment horizontal="center" vertical="center"/>
      <protection locked="0"/>
    </xf>
    <xf numFmtId="0" fontId="8" fillId="0" borderId="91" xfId="63" applyNumberFormat="1" applyFont="1" applyFill="1" applyBorder="1" applyAlignment="1" applyProtection="1">
      <alignment horizontal="center" vertical="center"/>
      <protection locked="0"/>
    </xf>
    <xf numFmtId="0" fontId="8" fillId="0" borderId="214" xfId="63" applyNumberFormat="1" applyFont="1" applyFill="1" applyBorder="1" applyAlignment="1" applyProtection="1">
      <alignment horizontal="center" vertical="center"/>
      <protection locked="0"/>
    </xf>
    <xf numFmtId="0" fontId="3" fillId="0" borderId="215" xfId="63" applyNumberFormat="1" applyFont="1" applyFill="1" applyBorder="1" applyAlignment="1" applyProtection="1">
      <alignment horizontal="center" vertical="center"/>
      <protection locked="0"/>
    </xf>
    <xf numFmtId="0" fontId="8" fillId="0" borderId="66" xfId="63" applyNumberFormat="1" applyFont="1" applyFill="1" applyBorder="1" applyAlignment="1" applyProtection="1">
      <alignment horizontal="center" vertical="center"/>
      <protection locked="0"/>
    </xf>
    <xf numFmtId="0" fontId="3" fillId="0" borderId="114" xfId="63" applyNumberFormat="1" applyFont="1" applyFill="1" applyBorder="1" applyAlignment="1" applyProtection="1">
      <alignment vertical="center"/>
      <protection locked="0"/>
    </xf>
    <xf numFmtId="0" fontId="3" fillId="0" borderId="216" xfId="63" applyNumberFormat="1" applyFont="1" applyFill="1" applyBorder="1" applyAlignment="1" applyProtection="1">
      <alignment vertical="center"/>
      <protection locked="0"/>
    </xf>
    <xf numFmtId="0" fontId="3" fillId="0" borderId="177" xfId="63" applyNumberFormat="1" applyFont="1" applyFill="1" applyBorder="1" applyAlignment="1" applyProtection="1">
      <alignment vertical="center"/>
      <protection locked="0"/>
    </xf>
    <xf numFmtId="0" fontId="8" fillId="0" borderId="122" xfId="63" applyNumberFormat="1" applyFont="1" applyFill="1" applyBorder="1" applyAlignment="1">
      <alignment horizontal="center" vertical="center"/>
      <protection/>
    </xf>
    <xf numFmtId="0" fontId="8" fillId="0" borderId="114" xfId="63" applyNumberFormat="1" applyFont="1" applyFill="1" applyBorder="1" applyAlignment="1">
      <alignment horizontal="center" vertical="center"/>
      <protection/>
    </xf>
    <xf numFmtId="0" fontId="8" fillId="0" borderId="217" xfId="63" applyFont="1" applyFill="1" applyBorder="1" applyAlignment="1">
      <alignment horizontal="center" vertical="center"/>
      <protection/>
    </xf>
    <xf numFmtId="0" fontId="8" fillId="0" borderId="218" xfId="63" applyFont="1" applyFill="1" applyBorder="1" applyAlignment="1">
      <alignment horizontal="center" vertical="center"/>
      <protection/>
    </xf>
    <xf numFmtId="3" fontId="2" fillId="0" borderId="219" xfId="63" applyNumberFormat="1" applyFont="1" applyFill="1" applyBorder="1" applyAlignment="1">
      <alignment horizontal="center" vertical="center"/>
      <protection/>
    </xf>
    <xf numFmtId="3" fontId="16" fillId="0" borderId="195" xfId="63" applyNumberFormat="1" applyFont="1" applyFill="1" applyBorder="1" applyAlignment="1">
      <alignment horizontal="center" vertical="center"/>
      <protection/>
    </xf>
    <xf numFmtId="0" fontId="8" fillId="0" borderId="220" xfId="63" applyFont="1" applyFill="1" applyBorder="1" applyAlignment="1">
      <alignment horizontal="center" vertical="center"/>
      <protection/>
    </xf>
    <xf numFmtId="3" fontId="16" fillId="0" borderId="221" xfId="63" applyNumberFormat="1" applyFont="1" applyFill="1" applyBorder="1" applyAlignment="1">
      <alignment horizontal="center" vertical="center"/>
      <protection/>
    </xf>
    <xf numFmtId="3" fontId="16" fillId="0" borderId="222" xfId="63" applyNumberFormat="1" applyFont="1" applyFill="1" applyBorder="1" applyAlignment="1">
      <alignment horizontal="center" vertical="center"/>
      <protection/>
    </xf>
    <xf numFmtId="0" fontId="8" fillId="0" borderId="221" xfId="63" applyFont="1" applyFill="1" applyBorder="1" applyAlignment="1">
      <alignment horizontal="center" vertical="center"/>
      <protection/>
    </xf>
    <xf numFmtId="3" fontId="24" fillId="0" borderId="223" xfId="62" applyNumberFormat="1" applyFont="1" applyFill="1" applyBorder="1" applyAlignment="1" applyProtection="1">
      <alignment/>
      <protection/>
    </xf>
    <xf numFmtId="0" fontId="24" fillId="0" borderId="224" xfId="62" applyFont="1" applyFill="1" applyBorder="1" applyAlignment="1" applyProtection="1">
      <alignment/>
      <protection/>
    </xf>
    <xf numFmtId="179" fontId="24" fillId="0" borderId="93" xfId="62" applyNumberFormat="1" applyFont="1" applyFill="1" applyBorder="1" applyAlignment="1" applyProtection="1">
      <alignment horizontal="distributed" vertical="center"/>
      <protection/>
    </xf>
    <xf numFmtId="0" fontId="0" fillId="0" borderId="135" xfId="0" applyFont="1" applyBorder="1" applyAlignment="1">
      <alignment vertical="center"/>
    </xf>
    <xf numFmtId="179" fontId="8" fillId="0" borderId="93" xfId="62" applyNumberFormat="1" applyFont="1" applyFill="1" applyBorder="1" applyAlignment="1" applyProtection="1">
      <alignment horizontal="distributed" vertical="center"/>
      <protection/>
    </xf>
    <xf numFmtId="179" fontId="8" fillId="0" borderId="135" xfId="62" applyNumberFormat="1" applyFont="1" applyFill="1" applyBorder="1" applyAlignment="1" applyProtection="1">
      <alignment horizontal="distributed" vertical="center"/>
      <protection/>
    </xf>
    <xf numFmtId="179" fontId="9" fillId="0" borderId="97" xfId="62" applyNumberFormat="1" applyFont="1" applyFill="1" applyBorder="1" applyAlignment="1" applyProtection="1">
      <alignment horizontal="distributed" vertical="center"/>
      <protection/>
    </xf>
    <xf numFmtId="179" fontId="9" fillId="0" borderId="145" xfId="62" applyNumberFormat="1" applyFont="1" applyFill="1" applyBorder="1" applyAlignment="1" applyProtection="1">
      <alignment horizontal="distributed" vertical="center"/>
      <protection/>
    </xf>
    <xf numFmtId="3" fontId="24" fillId="0" borderId="66" xfId="62" applyNumberFormat="1" applyFont="1" applyFill="1" applyBorder="1" applyAlignment="1" applyProtection="1">
      <alignment wrapText="1"/>
      <protection/>
    </xf>
    <xf numFmtId="3" fontId="24" fillId="0" borderId="183" xfId="62" applyNumberFormat="1" applyFont="1" applyFill="1" applyBorder="1" applyAlignment="1" applyProtection="1">
      <alignment wrapText="1"/>
      <protection/>
    </xf>
    <xf numFmtId="38" fontId="8" fillId="0" borderId="225" xfId="48" applyFont="1" applyFill="1" applyBorder="1" applyAlignment="1" applyProtection="1">
      <alignment horizontal="center" vertical="center"/>
      <protection/>
    </xf>
    <xf numFmtId="38" fontId="2" fillId="0" borderId="226" xfId="48" applyFont="1" applyFill="1" applyBorder="1" applyAlignment="1" applyProtection="1">
      <alignment horizontal="center" vertical="center"/>
      <protection/>
    </xf>
    <xf numFmtId="38" fontId="2" fillId="0" borderId="227" xfId="48" applyFont="1" applyFill="1" applyBorder="1" applyAlignment="1" applyProtection="1">
      <alignment horizontal="center" vertical="center"/>
      <protection/>
    </xf>
    <xf numFmtId="179" fontId="8" fillId="0" borderId="66" xfId="62" applyNumberFormat="1" applyFont="1" applyFill="1" applyBorder="1" applyAlignment="1" applyProtection="1">
      <alignment horizontal="center" vertical="center"/>
      <protection/>
    </xf>
    <xf numFmtId="0" fontId="16" fillId="0" borderId="183" xfId="62" applyFont="1" applyFill="1" applyBorder="1" applyAlignment="1" applyProtection="1">
      <alignment vertical="center"/>
      <protection/>
    </xf>
    <xf numFmtId="0" fontId="16" fillId="0" borderId="93" xfId="62" applyFont="1" applyFill="1" applyBorder="1" applyAlignment="1" applyProtection="1">
      <alignment vertical="center"/>
      <protection/>
    </xf>
    <xf numFmtId="0" fontId="16" fillId="0" borderId="135" xfId="62" applyFont="1" applyFill="1" applyBorder="1" applyAlignment="1" applyProtection="1">
      <alignment vertical="center"/>
      <protection/>
    </xf>
    <xf numFmtId="0" fontId="16" fillId="0" borderId="97" xfId="62" applyFont="1" applyFill="1" applyBorder="1" applyAlignment="1" applyProtection="1">
      <alignment vertical="center"/>
      <protection/>
    </xf>
    <xf numFmtId="0" fontId="16" fillId="0" borderId="145" xfId="62" applyFont="1" applyFill="1" applyBorder="1" applyAlignment="1" applyProtection="1">
      <alignment vertical="center"/>
      <protection/>
    </xf>
    <xf numFmtId="179" fontId="8" fillId="0" borderId="157" xfId="62" applyNumberFormat="1" applyFont="1" applyFill="1" applyBorder="1" applyAlignment="1" applyProtection="1">
      <alignment horizontal="center" vertical="center"/>
      <protection/>
    </xf>
    <xf numFmtId="0" fontId="2" fillId="0" borderId="120" xfId="62" applyFont="1" applyFill="1" applyBorder="1" applyAlignment="1" applyProtection="1">
      <alignment vertical="center"/>
      <protection/>
    </xf>
    <xf numFmtId="179" fontId="8" fillId="0" borderId="225" xfId="62" applyNumberFormat="1" applyFont="1" applyFill="1" applyBorder="1" applyAlignment="1" applyProtection="1">
      <alignment horizontal="center" vertical="center"/>
      <protection/>
    </xf>
    <xf numFmtId="0" fontId="2" fillId="0" borderId="226" xfId="62" applyFont="1" applyFill="1" applyBorder="1" applyAlignment="1" applyProtection="1">
      <alignment horizontal="center" vertical="center"/>
      <protection/>
    </xf>
    <xf numFmtId="0" fontId="2" fillId="0" borderId="228" xfId="62" applyFont="1" applyFill="1" applyBorder="1" applyAlignment="1" applyProtection="1">
      <alignment horizontal="center" vertical="center"/>
      <protection/>
    </xf>
    <xf numFmtId="3" fontId="24" fillId="0" borderId="93" xfId="62" applyNumberFormat="1" applyFont="1" applyFill="1" applyBorder="1" applyAlignment="1" applyProtection="1">
      <alignment wrapText="1"/>
      <protection/>
    </xf>
    <xf numFmtId="0" fontId="24" fillId="0" borderId="135" xfId="62" applyFont="1" applyFill="1" applyBorder="1" applyAlignment="1" applyProtection="1">
      <alignment/>
      <protection/>
    </xf>
    <xf numFmtId="179" fontId="24" fillId="0" borderId="135" xfId="62" applyNumberFormat="1" applyFont="1" applyFill="1" applyBorder="1" applyAlignment="1" applyProtection="1">
      <alignment horizontal="distributed" vertical="center"/>
      <protection/>
    </xf>
    <xf numFmtId="0" fontId="24" fillId="0" borderId="135" xfId="62" applyFont="1" applyFill="1" applyBorder="1" applyAlignment="1" applyProtection="1">
      <alignment horizontal="distributed"/>
      <protection/>
    </xf>
    <xf numFmtId="3" fontId="24" fillId="0" borderId="93" xfId="62" applyNumberFormat="1" applyFont="1" applyFill="1" applyBorder="1" applyAlignment="1" applyProtection="1">
      <alignment/>
      <protection/>
    </xf>
    <xf numFmtId="0" fontId="24" fillId="0" borderId="115" xfId="62" applyFont="1" applyFill="1" applyBorder="1" applyAlignment="1" applyProtection="1">
      <alignment/>
      <protection/>
    </xf>
    <xf numFmtId="179" fontId="16" fillId="0" borderId="93" xfId="63" applyNumberFormat="1" applyFont="1" applyFill="1" applyBorder="1" applyAlignment="1" applyProtection="1">
      <alignment horizontal="distributed" vertical="center"/>
      <protection/>
    </xf>
    <xf numFmtId="179" fontId="16" fillId="0" borderId="135" xfId="63" applyNumberFormat="1" applyFont="1" applyFill="1" applyBorder="1" applyAlignment="1" applyProtection="1">
      <alignment horizontal="distributed" vertical="center"/>
      <protection/>
    </xf>
    <xf numFmtId="179" fontId="24" fillId="0" borderId="97" xfId="63" applyNumberFormat="1" applyFont="1" applyFill="1" applyBorder="1" applyAlignment="1" applyProtection="1">
      <alignment horizontal="distributed" vertical="center"/>
      <protection/>
    </xf>
    <xf numFmtId="179" fontId="24" fillId="0" borderId="145" xfId="63" applyNumberFormat="1" applyFont="1" applyFill="1" applyBorder="1" applyAlignment="1" applyProtection="1">
      <alignment horizontal="distributed" vertical="center"/>
      <protection/>
    </xf>
    <xf numFmtId="179" fontId="16" fillId="0" borderId="66" xfId="63" applyNumberFormat="1" applyFont="1" applyFill="1" applyBorder="1" applyAlignment="1">
      <alignment horizontal="center" vertical="center"/>
      <protection/>
    </xf>
    <xf numFmtId="0" fontId="16" fillId="0" borderId="183" xfId="63" applyFont="1" applyFill="1" applyBorder="1" applyAlignment="1">
      <alignment vertical="center"/>
      <protection/>
    </xf>
    <xf numFmtId="0" fontId="16" fillId="0" borderId="93" xfId="63" applyFont="1" applyFill="1" applyBorder="1" applyAlignment="1">
      <alignment vertical="center"/>
      <protection/>
    </xf>
    <xf numFmtId="0" fontId="16" fillId="0" borderId="135" xfId="63" applyFont="1" applyFill="1" applyBorder="1" applyAlignment="1">
      <alignment vertical="center"/>
      <protection/>
    </xf>
    <xf numFmtId="0" fontId="16" fillId="0" borderId="97" xfId="63" applyFont="1" applyFill="1" applyBorder="1" applyAlignment="1">
      <alignment vertical="center"/>
      <protection/>
    </xf>
    <xf numFmtId="0" fontId="16" fillId="0" borderId="145" xfId="63" applyFont="1" applyFill="1" applyBorder="1" applyAlignment="1">
      <alignment vertical="center"/>
      <protection/>
    </xf>
    <xf numFmtId="0" fontId="16" fillId="0" borderId="102" xfId="63" applyFont="1" applyFill="1" applyBorder="1" applyAlignment="1">
      <alignment horizontal="center" vertical="center"/>
      <protection/>
    </xf>
    <xf numFmtId="0" fontId="2" fillId="0" borderId="98" xfId="63" applyFont="1" applyFill="1" applyBorder="1" applyAlignment="1">
      <alignment horizontal="center" vertical="center"/>
      <protection/>
    </xf>
    <xf numFmtId="0" fontId="2" fillId="0" borderId="120" xfId="63" applyFont="1" applyFill="1" applyBorder="1" applyAlignment="1">
      <alignment horizontal="center" vertical="center"/>
      <protection/>
    </xf>
    <xf numFmtId="179" fontId="16" fillId="0" borderId="220" xfId="63" applyNumberFormat="1" applyFont="1" applyFill="1" applyBorder="1" applyAlignment="1">
      <alignment horizontal="center" vertical="center"/>
      <protection/>
    </xf>
    <xf numFmtId="0" fontId="2" fillId="0" borderId="221" xfId="63" applyFont="1" applyFill="1" applyBorder="1" applyAlignment="1">
      <alignment horizontal="center" vertical="center"/>
      <protection/>
    </xf>
    <xf numFmtId="0" fontId="2" fillId="0" borderId="222" xfId="63" applyFont="1" applyFill="1" applyBorder="1" applyAlignment="1">
      <alignment horizontal="center" vertical="center"/>
      <protection/>
    </xf>
    <xf numFmtId="0" fontId="2" fillId="0" borderId="229" xfId="63" applyFont="1" applyFill="1" applyBorder="1" applyAlignment="1">
      <alignment horizontal="center" vertical="center"/>
      <protection/>
    </xf>
    <xf numFmtId="179" fontId="16" fillId="0" borderId="157" xfId="63" applyNumberFormat="1" applyFont="1" applyFill="1" applyBorder="1" applyAlignment="1">
      <alignment horizontal="center" vertical="center"/>
      <protection/>
    </xf>
    <xf numFmtId="179" fontId="16" fillId="0" borderId="225" xfId="63" applyNumberFormat="1" applyFont="1" applyFill="1" applyBorder="1" applyAlignment="1">
      <alignment horizontal="center" vertical="center"/>
      <protection/>
    </xf>
    <xf numFmtId="0" fontId="2" fillId="0" borderId="226" xfId="63" applyFont="1" applyFill="1" applyBorder="1" applyAlignment="1">
      <alignment horizontal="center" vertical="center"/>
      <protection/>
    </xf>
    <xf numFmtId="0" fontId="2" fillId="0" borderId="228" xfId="63" applyFont="1" applyFill="1" applyBorder="1" applyAlignment="1">
      <alignment horizontal="center" vertical="center"/>
      <protection/>
    </xf>
    <xf numFmtId="0" fontId="2" fillId="0" borderId="227" xfId="63" applyFont="1" applyFill="1" applyBorder="1" applyAlignment="1">
      <alignment horizontal="center" vertical="center"/>
      <protection/>
    </xf>
    <xf numFmtId="179" fontId="24" fillId="0" borderId="109" xfId="62" applyNumberFormat="1" applyFont="1" applyFill="1" applyBorder="1" applyAlignment="1" applyProtection="1">
      <alignment horizontal="distributed" vertical="center"/>
      <protection/>
    </xf>
    <xf numFmtId="3" fontId="24" fillId="0" borderId="109" xfId="62" applyNumberFormat="1" applyFont="1" applyFill="1" applyBorder="1" applyAlignment="1" applyProtection="1">
      <alignment/>
      <protection/>
    </xf>
    <xf numFmtId="179" fontId="28" fillId="0" borderId="0" xfId="63" applyNumberFormat="1" applyFont="1" applyFill="1" applyAlignment="1">
      <alignment/>
      <protection/>
    </xf>
    <xf numFmtId="0" fontId="0" fillId="0" borderId="0" xfId="0" applyAlignment="1">
      <alignment/>
    </xf>
    <xf numFmtId="0" fontId="0" fillId="0" borderId="100" xfId="0" applyBorder="1" applyAlignment="1">
      <alignment/>
    </xf>
    <xf numFmtId="3" fontId="24" fillId="0" borderId="230" xfId="62" applyNumberFormat="1" applyFont="1" applyFill="1" applyBorder="1" applyAlignment="1" applyProtection="1">
      <alignment/>
      <protection/>
    </xf>
    <xf numFmtId="3" fontId="24" fillId="0" borderId="231" xfId="62" applyNumberFormat="1" applyFont="1" applyFill="1" applyBorder="1" applyAlignment="1" applyProtection="1">
      <alignment wrapText="1"/>
      <protection/>
    </xf>
    <xf numFmtId="179" fontId="9" fillId="0" borderId="143" xfId="63" applyNumberFormat="1" applyFont="1" applyFill="1" applyBorder="1" applyAlignment="1" applyProtection="1">
      <alignment horizontal="distributed" vertical="center"/>
      <protection/>
    </xf>
    <xf numFmtId="179" fontId="9" fillId="0" borderId="145" xfId="63" applyNumberFormat="1" applyFont="1" applyFill="1" applyBorder="1" applyAlignment="1" applyProtection="1">
      <alignment horizontal="distributed" vertical="center"/>
      <protection/>
    </xf>
    <xf numFmtId="3" fontId="24" fillId="0" borderId="109" xfId="62" applyNumberFormat="1" applyFont="1" applyFill="1" applyBorder="1" applyAlignment="1" applyProtection="1">
      <alignment wrapText="1"/>
      <protection/>
    </xf>
    <xf numFmtId="179" fontId="8" fillId="0" borderId="225" xfId="63" applyNumberFormat="1" applyFont="1" applyFill="1" applyBorder="1" applyAlignment="1">
      <alignment horizontal="center" vertical="center"/>
      <protection/>
    </xf>
    <xf numFmtId="179" fontId="8" fillId="0" borderId="226" xfId="63" applyNumberFormat="1" applyFont="1" applyFill="1" applyBorder="1" applyAlignment="1">
      <alignment horizontal="center" vertical="center"/>
      <protection/>
    </xf>
    <xf numFmtId="179" fontId="8" fillId="0" borderId="227" xfId="63" applyNumberFormat="1" applyFont="1" applyFill="1" applyBorder="1" applyAlignment="1">
      <alignment horizontal="center" vertical="center"/>
      <protection/>
    </xf>
    <xf numFmtId="179" fontId="8" fillId="0" borderId="0" xfId="63" applyNumberFormat="1" applyFont="1" applyAlignment="1">
      <alignment horizontal="right"/>
      <protection/>
    </xf>
    <xf numFmtId="0" fontId="0" fillId="0" borderId="100" xfId="0" applyBorder="1" applyAlignment="1">
      <alignment horizontal="right"/>
    </xf>
    <xf numFmtId="179" fontId="8" fillId="0" borderId="93" xfId="63" applyNumberFormat="1" applyFont="1" applyFill="1" applyBorder="1" applyAlignment="1" applyProtection="1">
      <alignment horizontal="distributed" vertical="center"/>
      <protection/>
    </xf>
    <xf numFmtId="179" fontId="8" fillId="0" borderId="0" xfId="63" applyNumberFormat="1" applyFont="1" applyFill="1" applyBorder="1" applyAlignment="1" applyProtection="1">
      <alignment horizontal="distributed" vertical="center"/>
      <protection/>
    </xf>
    <xf numFmtId="179" fontId="9" fillId="0" borderId="97" xfId="63" applyNumberFormat="1" applyFont="1" applyFill="1" applyBorder="1" applyAlignment="1" applyProtection="1">
      <alignment horizontal="distributed" vertical="center"/>
      <protection/>
    </xf>
    <xf numFmtId="179" fontId="9" fillId="0" borderId="100" xfId="63" applyNumberFormat="1" applyFont="1" applyFill="1" applyBorder="1" applyAlignment="1" applyProtection="1">
      <alignment horizontal="distributed" vertical="center"/>
      <protection/>
    </xf>
    <xf numFmtId="179" fontId="8" fillId="0" borderId="200" xfId="63" applyNumberFormat="1" applyFont="1" applyFill="1" applyBorder="1" applyAlignment="1">
      <alignment horizontal="center" vertical="center"/>
      <protection/>
    </xf>
    <xf numFmtId="0" fontId="16" fillId="0" borderId="145" xfId="63" applyFont="1" applyFill="1" applyBorder="1" applyAlignment="1">
      <alignment horizontal="center" vertical="center"/>
      <protection/>
    </xf>
    <xf numFmtId="179" fontId="8" fillId="0" borderId="232" xfId="63" applyNumberFormat="1" applyFont="1" applyFill="1" applyBorder="1" applyAlignment="1">
      <alignment horizontal="center" vertical="center"/>
      <protection/>
    </xf>
    <xf numFmtId="0" fontId="3" fillId="0" borderId="221" xfId="63" applyNumberFormat="1" applyFont="1" applyFill="1" applyBorder="1" applyAlignment="1" applyProtection="1">
      <alignment/>
      <protection locked="0"/>
    </xf>
    <xf numFmtId="0" fontId="3" fillId="0" borderId="229" xfId="63" applyNumberFormat="1" applyFont="1" applyFill="1" applyBorder="1" applyAlignment="1" applyProtection="1">
      <alignment/>
      <protection locked="0"/>
    </xf>
    <xf numFmtId="179" fontId="8" fillId="0" borderId="221" xfId="63" applyNumberFormat="1" applyFont="1" applyFill="1" applyBorder="1" applyAlignment="1">
      <alignment horizontal="center" vertical="center"/>
      <protection/>
    </xf>
    <xf numFmtId="0" fontId="16" fillId="0" borderId="221" xfId="63" applyFont="1" applyFill="1" applyBorder="1" applyAlignment="1">
      <alignment horizontal="center" vertical="center"/>
      <protection/>
    </xf>
    <xf numFmtId="0" fontId="16" fillId="0" borderId="229" xfId="63" applyFont="1" applyFill="1" applyBorder="1" applyAlignment="1">
      <alignment horizontal="center" vertical="center"/>
      <protection/>
    </xf>
    <xf numFmtId="179" fontId="8" fillId="0" borderId="228" xfId="63" applyNumberFormat="1" applyFont="1" applyFill="1" applyBorder="1" applyAlignment="1">
      <alignment horizontal="center" vertical="center"/>
      <protection/>
    </xf>
    <xf numFmtId="179" fontId="8" fillId="0" borderId="233" xfId="63" applyNumberFormat="1" applyFont="1" applyFill="1" applyBorder="1" applyAlignment="1">
      <alignment horizontal="center" vertical="center"/>
      <protection/>
    </xf>
    <xf numFmtId="0" fontId="3" fillId="0" borderId="121" xfId="63" applyNumberFormat="1" applyFont="1" applyFill="1" applyBorder="1" applyAlignment="1" applyProtection="1">
      <alignment horizontal="center" vertical="center"/>
      <protection locked="0"/>
    </xf>
    <xf numFmtId="179" fontId="8" fillId="0" borderId="231" xfId="63" applyNumberFormat="1" applyFont="1" applyFill="1" applyBorder="1" applyAlignment="1">
      <alignment horizontal="center" vertical="center"/>
      <protection/>
    </xf>
    <xf numFmtId="0" fontId="16" fillId="0" borderId="90" xfId="63" applyFont="1" applyFill="1" applyBorder="1" applyAlignment="1">
      <alignment horizontal="center" vertical="center"/>
      <protection/>
    </xf>
    <xf numFmtId="0" fontId="3" fillId="0" borderId="234" xfId="63" applyNumberFormat="1" applyFont="1" applyFill="1" applyBorder="1" applyAlignment="1" applyProtection="1">
      <alignment horizontal="center" vertical="center"/>
      <protection locked="0"/>
    </xf>
    <xf numFmtId="179" fontId="8" fillId="0" borderId="235" xfId="63" applyNumberFormat="1" applyFont="1" applyFill="1" applyBorder="1" applyAlignment="1">
      <alignment horizontal="center" vertical="center"/>
      <protection/>
    </xf>
    <xf numFmtId="0" fontId="16" fillId="0" borderId="119" xfId="63" applyFont="1" applyFill="1" applyBorder="1" applyAlignment="1">
      <alignment horizontal="center" vertical="center"/>
      <protection/>
    </xf>
    <xf numFmtId="179" fontId="8" fillId="0" borderId="223" xfId="63" applyNumberFormat="1" applyFont="1" applyFill="1" applyBorder="1" applyAlignment="1">
      <alignment horizontal="center" vertical="center"/>
      <protection/>
    </xf>
    <xf numFmtId="0" fontId="16" fillId="0" borderId="236" xfId="63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100" xfId="63" applyFont="1" applyFill="1" applyBorder="1" applyAlignment="1">
      <alignment vertical="center"/>
      <protection/>
    </xf>
    <xf numFmtId="179" fontId="8" fillId="0" borderId="237" xfId="63" applyNumberFormat="1" applyFont="1" applyFill="1" applyBorder="1" applyAlignment="1">
      <alignment horizontal="center" vertical="center"/>
      <protection/>
    </xf>
    <xf numFmtId="179" fontId="8" fillId="0" borderId="193" xfId="63" applyNumberFormat="1" applyFont="1" applyFill="1" applyBorder="1" applyAlignment="1">
      <alignment horizontal="center" vertical="center"/>
      <protection/>
    </xf>
    <xf numFmtId="179" fontId="8" fillId="0" borderId="238" xfId="63" applyNumberFormat="1" applyFont="1" applyFill="1" applyBorder="1" applyAlignment="1">
      <alignment horizontal="center" vertical="center"/>
      <protection/>
    </xf>
    <xf numFmtId="179" fontId="8" fillId="0" borderId="239" xfId="63" applyNumberFormat="1" applyFont="1" applyFill="1" applyBorder="1" applyAlignment="1">
      <alignment horizontal="center" vertical="center"/>
      <protection/>
    </xf>
    <xf numFmtId="179" fontId="8" fillId="0" borderId="109" xfId="63" applyNumberFormat="1" applyFont="1" applyFill="1" applyBorder="1" applyAlignment="1" applyProtection="1">
      <alignment horizontal="distributed" vertical="center"/>
      <protection/>
    </xf>
    <xf numFmtId="179" fontId="8" fillId="0" borderId="135" xfId="63" applyNumberFormat="1" applyFont="1" applyFill="1" applyBorder="1" applyAlignment="1" applyProtection="1">
      <alignment horizontal="distributed" vertical="center"/>
      <protection/>
    </xf>
    <xf numFmtId="179" fontId="8" fillId="0" borderId="155" xfId="63" applyNumberFormat="1" applyFont="1" applyFill="1" applyBorder="1" applyAlignment="1">
      <alignment horizontal="center" vertical="center"/>
      <protection/>
    </xf>
    <xf numFmtId="0" fontId="16" fillId="0" borderId="94" xfId="63" applyFont="1" applyFill="1" applyBorder="1" applyAlignment="1">
      <alignment horizontal="center" vertical="center"/>
      <protection/>
    </xf>
    <xf numFmtId="0" fontId="3" fillId="0" borderId="94" xfId="63" applyNumberFormat="1" applyFont="1" applyFill="1" applyBorder="1" applyAlignment="1" applyProtection="1">
      <alignment horizontal="center" vertical="center"/>
      <protection locked="0"/>
    </xf>
    <xf numFmtId="179" fontId="8" fillId="0" borderId="230" xfId="63" applyNumberFormat="1" applyFont="1" applyFill="1" applyBorder="1" applyAlignment="1">
      <alignment horizontal="center" vertical="center"/>
      <protection/>
    </xf>
    <xf numFmtId="0" fontId="16" fillId="0" borderId="224" xfId="63" applyFont="1" applyFill="1" applyBorder="1" applyAlignment="1">
      <alignment vertical="center"/>
      <protection/>
    </xf>
    <xf numFmtId="0" fontId="16" fillId="0" borderId="109" xfId="63" applyFont="1" applyFill="1" applyBorder="1" applyAlignment="1">
      <alignment vertical="center"/>
      <protection/>
    </xf>
    <xf numFmtId="0" fontId="16" fillId="0" borderId="143" xfId="63" applyFont="1" applyFill="1" applyBorder="1" applyAlignment="1">
      <alignment vertical="center"/>
      <protection/>
    </xf>
    <xf numFmtId="0" fontId="24" fillId="0" borderId="184" xfId="62" applyFont="1" applyFill="1" applyBorder="1" applyAlignment="1" applyProtection="1">
      <alignment horizontal="distributed"/>
      <protection/>
    </xf>
    <xf numFmtId="0" fontId="24" fillId="0" borderId="0" xfId="62" applyFont="1" applyFill="1" applyBorder="1" applyAlignment="1" applyProtection="1">
      <alignment horizontal="distributed"/>
      <protection/>
    </xf>
    <xf numFmtId="0" fontId="0" fillId="0" borderId="184" xfId="0" applyBorder="1" applyAlignment="1">
      <alignment vertical="center"/>
    </xf>
    <xf numFmtId="0" fontId="24" fillId="0" borderId="0" xfId="62" applyFont="1" applyFill="1" applyBorder="1" applyAlignment="1" applyProtection="1">
      <alignment/>
      <protection/>
    </xf>
    <xf numFmtId="0" fontId="24" fillId="0" borderId="184" xfId="62" applyFont="1" applyFill="1" applyBorder="1" applyAlignment="1" applyProtection="1">
      <alignment/>
      <protection/>
    </xf>
    <xf numFmtId="179" fontId="24" fillId="0" borderId="147" xfId="63" applyNumberFormat="1" applyFont="1" applyFill="1" applyBorder="1" applyAlignment="1" applyProtection="1">
      <alignment horizontal="distributed" vertical="center"/>
      <protection/>
    </xf>
    <xf numFmtId="179" fontId="24" fillId="0" borderId="184" xfId="62" applyNumberFormat="1" applyFont="1" applyFill="1" applyBorder="1" applyAlignment="1" applyProtection="1">
      <alignment horizontal="distributed" vertical="center"/>
      <protection/>
    </xf>
    <xf numFmtId="0" fontId="24" fillId="0" borderId="240" xfId="62" applyFont="1" applyFill="1" applyBorder="1" applyAlignment="1" applyProtection="1">
      <alignment/>
      <protection/>
    </xf>
    <xf numFmtId="179" fontId="16" fillId="0" borderId="232" xfId="63" applyNumberFormat="1" applyFont="1" applyFill="1" applyBorder="1" applyAlignment="1">
      <alignment horizontal="center" vertical="center"/>
      <protection/>
    </xf>
    <xf numFmtId="0" fontId="3" fillId="0" borderId="221" xfId="63" applyNumberFormat="1" applyFont="1" applyFill="1" applyBorder="1" applyAlignment="1" applyProtection="1">
      <alignment horizontal="center" vertical="center"/>
      <protection locked="0"/>
    </xf>
    <xf numFmtId="0" fontId="3" fillId="0" borderId="229" xfId="63" applyNumberFormat="1" applyFont="1" applyFill="1" applyBorder="1" applyAlignment="1" applyProtection="1">
      <alignment horizontal="center" vertical="center"/>
      <protection locked="0"/>
    </xf>
    <xf numFmtId="179" fontId="16" fillId="0" borderId="226" xfId="63" applyNumberFormat="1" applyFont="1" applyFill="1" applyBorder="1" applyAlignment="1">
      <alignment horizontal="center" vertical="center"/>
      <protection/>
    </xf>
    <xf numFmtId="179" fontId="16" fillId="0" borderId="228" xfId="63" applyNumberFormat="1" applyFont="1" applyFill="1" applyBorder="1" applyAlignment="1">
      <alignment horizontal="center" vertical="center"/>
      <protection/>
    </xf>
    <xf numFmtId="179" fontId="24" fillId="0" borderId="0" xfId="62" applyNumberFormat="1" applyFont="1" applyFill="1" applyBorder="1" applyAlignment="1" applyProtection="1">
      <alignment horizontal="distributed" vertical="center"/>
      <protection/>
    </xf>
    <xf numFmtId="179" fontId="16" fillId="0" borderId="66" xfId="63" applyNumberFormat="1" applyFont="1" applyFill="1" applyBorder="1" applyAlignment="1" applyProtection="1">
      <alignment horizontal="distributed" vertical="center"/>
      <protection/>
    </xf>
    <xf numFmtId="179" fontId="16" fillId="0" borderId="90" xfId="63" applyNumberFormat="1" applyFont="1" applyFill="1" applyBorder="1" applyAlignment="1" applyProtection="1">
      <alignment horizontal="distributed" vertical="center"/>
      <protection/>
    </xf>
    <xf numFmtId="179" fontId="16" fillId="0" borderId="193" xfId="63" applyNumberFormat="1" applyFont="1" applyFill="1" applyBorder="1" applyAlignment="1">
      <alignment horizontal="center" vertical="center"/>
      <protection/>
    </xf>
    <xf numFmtId="179" fontId="16" fillId="0" borderId="238" xfId="63" applyNumberFormat="1" applyFont="1" applyFill="1" applyBorder="1" applyAlignment="1">
      <alignment horizontal="center" vertical="center"/>
      <protection/>
    </xf>
    <xf numFmtId="179" fontId="16" fillId="0" borderId="155" xfId="63" applyNumberFormat="1" applyFont="1" applyFill="1" applyBorder="1" applyAlignment="1">
      <alignment horizontal="center" vertical="center"/>
      <protection/>
    </xf>
    <xf numFmtId="0" fontId="2" fillId="0" borderId="94" xfId="63" applyNumberFormat="1" applyFont="1" applyFill="1" applyBorder="1" applyAlignment="1" applyProtection="1">
      <alignment horizontal="center" vertical="center"/>
      <protection locked="0"/>
    </xf>
    <xf numFmtId="179" fontId="16" fillId="0" borderId="241" xfId="63" applyNumberFormat="1" applyFont="1" applyFill="1" applyBorder="1" applyAlignment="1">
      <alignment horizontal="center" vertical="center"/>
      <protection/>
    </xf>
    <xf numFmtId="0" fontId="16" fillId="0" borderId="144" xfId="63" applyFont="1" applyFill="1" applyBorder="1" applyAlignment="1">
      <alignment horizontal="center" vertical="center"/>
      <protection/>
    </xf>
    <xf numFmtId="0" fontId="24" fillId="0" borderId="236" xfId="62" applyFont="1" applyFill="1" applyBorder="1" applyAlignment="1" applyProtection="1">
      <alignment/>
      <protection/>
    </xf>
    <xf numFmtId="0" fontId="2" fillId="0" borderId="221" xfId="63" applyNumberFormat="1" applyFont="1" applyFill="1" applyBorder="1" applyAlignment="1" applyProtection="1">
      <alignment horizontal="center" vertical="center"/>
      <protection locked="0"/>
    </xf>
    <xf numFmtId="0" fontId="2" fillId="0" borderId="229" xfId="63" applyNumberFormat="1" applyFont="1" applyFill="1" applyBorder="1" applyAlignment="1" applyProtection="1">
      <alignment horizontal="center" vertical="center"/>
      <protection locked="0"/>
    </xf>
    <xf numFmtId="179" fontId="16" fillId="0" borderId="233" xfId="63" applyNumberFormat="1" applyFont="1" applyFill="1" applyBorder="1" applyAlignment="1">
      <alignment horizontal="center" vertical="center"/>
      <protection/>
    </xf>
    <xf numFmtId="0" fontId="2" fillId="0" borderId="121" xfId="63" applyNumberFormat="1" applyFont="1" applyFill="1" applyBorder="1" applyAlignment="1" applyProtection="1">
      <alignment horizontal="center" vertical="center"/>
      <protection locked="0"/>
    </xf>
    <xf numFmtId="179" fontId="16" fillId="0" borderId="231" xfId="63" applyNumberFormat="1" applyFont="1" applyFill="1" applyBorder="1" applyAlignment="1">
      <alignment horizontal="center" vertical="center"/>
      <protection/>
    </xf>
    <xf numFmtId="0" fontId="2" fillId="0" borderId="90" xfId="63" applyNumberFormat="1" applyFont="1" applyFill="1" applyBorder="1" applyAlignment="1" applyProtection="1">
      <alignment horizontal="center" vertical="center"/>
      <protection locked="0"/>
    </xf>
    <xf numFmtId="179" fontId="16" fillId="0" borderId="0" xfId="63" applyNumberFormat="1" applyFont="1" applyFill="1" applyBorder="1" applyAlignment="1" applyProtection="1">
      <alignment horizontal="distributed" vertical="center"/>
      <protection/>
    </xf>
    <xf numFmtId="179" fontId="24" fillId="0" borderId="100" xfId="63" applyNumberFormat="1" applyFont="1" applyFill="1" applyBorder="1" applyAlignment="1" applyProtection="1">
      <alignment horizontal="distributed" vertical="center"/>
      <protection/>
    </xf>
    <xf numFmtId="3" fontId="24" fillId="0" borderId="90" xfId="62" applyNumberFormat="1" applyFont="1" applyFill="1" applyBorder="1" applyAlignment="1" applyProtection="1">
      <alignment wrapText="1"/>
      <protection/>
    </xf>
    <xf numFmtId="0" fontId="16" fillId="0" borderId="234" xfId="63" applyFont="1" applyFill="1" applyBorder="1" applyAlignment="1">
      <alignment vertical="center"/>
      <protection/>
    </xf>
    <xf numFmtId="0" fontId="16" fillId="0" borderId="170" xfId="63" applyFont="1" applyFill="1" applyBorder="1" applyAlignment="1">
      <alignment vertical="center"/>
      <protection/>
    </xf>
    <xf numFmtId="0" fontId="16" fillId="0" borderId="172" xfId="63" applyFont="1" applyFill="1" applyBorder="1" applyAlignment="1">
      <alignment vertical="center"/>
      <protection/>
    </xf>
    <xf numFmtId="179" fontId="16" fillId="0" borderId="200" xfId="63" applyNumberFormat="1" applyFont="1" applyFill="1" applyBorder="1" applyAlignment="1">
      <alignment horizontal="center" vertical="center"/>
      <protection/>
    </xf>
    <xf numFmtId="179" fontId="16" fillId="0" borderId="239" xfId="63" applyNumberFormat="1" applyFont="1" applyFill="1" applyBorder="1" applyAlignment="1">
      <alignment horizontal="center" vertical="center"/>
      <protection/>
    </xf>
    <xf numFmtId="179" fontId="16" fillId="0" borderId="227" xfId="63" applyNumberFormat="1" applyFont="1" applyFill="1" applyBorder="1" applyAlignment="1">
      <alignment horizontal="center" vertical="center"/>
      <protection/>
    </xf>
    <xf numFmtId="179" fontId="16" fillId="0" borderId="184" xfId="63" applyNumberFormat="1" applyFont="1" applyFill="1" applyBorder="1" applyAlignment="1" applyProtection="1">
      <alignment horizontal="distributed" vertical="center"/>
      <protection/>
    </xf>
    <xf numFmtId="3" fontId="24" fillId="0" borderId="91" xfId="62" applyNumberFormat="1" applyFont="1" applyFill="1" applyBorder="1" applyAlignment="1" applyProtection="1">
      <alignment wrapText="1"/>
      <protection/>
    </xf>
    <xf numFmtId="0" fontId="16" fillId="0" borderId="91" xfId="63" applyFont="1" applyFill="1" applyBorder="1" applyAlignment="1">
      <alignment vertical="center"/>
      <protection/>
    </xf>
    <xf numFmtId="0" fontId="16" fillId="0" borderId="184" xfId="63" applyFont="1" applyFill="1" applyBorder="1" applyAlignment="1">
      <alignment vertical="center"/>
      <protection/>
    </xf>
    <xf numFmtId="0" fontId="16" fillId="0" borderId="147" xfId="63" applyFont="1" applyFill="1" applyBorder="1" applyAlignment="1">
      <alignment vertical="center"/>
      <protection/>
    </xf>
    <xf numFmtId="0" fontId="8" fillId="0" borderId="67" xfId="60" applyNumberFormat="1" applyFont="1" applyFill="1" applyBorder="1" applyAlignment="1">
      <alignment horizontal="center" vertical="center"/>
      <protection/>
    </xf>
    <xf numFmtId="0" fontId="8" fillId="0" borderId="90" xfId="60" applyNumberFormat="1" applyFont="1" applyFill="1" applyBorder="1" applyAlignment="1">
      <alignment horizontal="center" vertical="center"/>
      <protection/>
    </xf>
    <xf numFmtId="0" fontId="8" fillId="0" borderId="91" xfId="60" applyNumberFormat="1" applyFont="1" applyFill="1" applyBorder="1" applyAlignment="1">
      <alignment horizontal="center" vertical="center"/>
      <protection/>
    </xf>
    <xf numFmtId="0" fontId="16" fillId="0" borderId="158" xfId="65" applyFont="1" applyFill="1" applyBorder="1" applyAlignment="1">
      <alignment horizontal="center" vertical="center"/>
      <protection/>
    </xf>
    <xf numFmtId="0" fontId="16" fillId="0" borderId="201" xfId="65" applyFont="1" applyFill="1" applyBorder="1" applyAlignment="1">
      <alignment horizontal="center" vertical="center"/>
      <protection/>
    </xf>
    <xf numFmtId="0" fontId="16" fillId="0" borderId="242" xfId="65" applyFont="1" applyFill="1" applyBorder="1" applyAlignment="1">
      <alignment horizontal="center" vertical="center"/>
      <protection/>
    </xf>
    <xf numFmtId="0" fontId="8" fillId="0" borderId="225" xfId="60" applyNumberFormat="1" applyFont="1" applyFill="1" applyBorder="1" applyAlignment="1">
      <alignment horizontal="center" vertical="center"/>
      <protection/>
    </xf>
    <xf numFmtId="0" fontId="8" fillId="0" borderId="228" xfId="60" applyNumberFormat="1" applyFont="1" applyFill="1" applyBorder="1" applyAlignment="1">
      <alignment horizontal="center" vertical="center"/>
      <protection/>
    </xf>
    <xf numFmtId="0" fontId="8" fillId="0" borderId="226" xfId="60" applyNumberFormat="1" applyFont="1" applyFill="1" applyBorder="1" applyAlignment="1">
      <alignment horizontal="center" vertical="center"/>
      <protection/>
    </xf>
    <xf numFmtId="0" fontId="8" fillId="0" borderId="220" xfId="60" applyNumberFormat="1" applyFont="1" applyFill="1" applyBorder="1" applyAlignment="1">
      <alignment horizontal="center" vertical="center"/>
      <protection/>
    </xf>
    <xf numFmtId="0" fontId="16" fillId="0" borderId="221" xfId="65" applyFont="1" applyFill="1" applyBorder="1" applyAlignment="1">
      <alignment horizontal="center" vertical="center"/>
      <protection/>
    </xf>
    <xf numFmtId="0" fontId="16" fillId="0" borderId="222" xfId="65" applyFont="1" applyFill="1" applyBorder="1" applyAlignment="1">
      <alignment horizontal="center" vertical="center"/>
      <protection/>
    </xf>
    <xf numFmtId="0" fontId="8" fillId="0" borderId="183" xfId="60" applyNumberFormat="1" applyFont="1" applyFill="1" applyBorder="1" applyAlignment="1">
      <alignment horizontal="center" vertical="center"/>
      <protection/>
    </xf>
    <xf numFmtId="0" fontId="16" fillId="0" borderId="212" xfId="65" applyFont="1" applyFill="1" applyBorder="1" applyAlignment="1">
      <alignment horizontal="center" vertical="center"/>
      <protection/>
    </xf>
    <xf numFmtId="179" fontId="35" fillId="0" borderId="93" xfId="62" applyNumberFormat="1" applyFont="1" applyFill="1" applyBorder="1" applyAlignment="1">
      <alignment horizontal="distributed" vertical="center"/>
      <protection/>
    </xf>
    <xf numFmtId="179" fontId="35" fillId="0" borderId="170" xfId="62" applyNumberFormat="1" applyFont="1" applyFill="1" applyBorder="1" applyAlignment="1">
      <alignment horizontal="distributed" vertical="center"/>
      <protection/>
    </xf>
    <xf numFmtId="179" fontId="35" fillId="0" borderId="93" xfId="62" applyNumberFormat="1" applyFont="1" applyFill="1" applyBorder="1" applyAlignment="1">
      <alignment wrapText="1"/>
      <protection/>
    </xf>
    <xf numFmtId="179" fontId="35" fillId="0" borderId="170" xfId="62" applyNumberFormat="1" applyFont="1" applyFill="1" applyBorder="1" applyAlignment="1">
      <alignment/>
      <protection/>
    </xf>
    <xf numFmtId="179" fontId="35" fillId="0" borderId="223" xfId="62" applyNumberFormat="1" applyFont="1" applyFill="1" applyBorder="1" applyAlignment="1">
      <alignment/>
      <protection/>
    </xf>
    <xf numFmtId="179" fontId="35" fillId="0" borderId="243" xfId="62" applyNumberFormat="1" applyFont="1" applyFill="1" applyBorder="1" applyAlignment="1">
      <alignment/>
      <protection/>
    </xf>
    <xf numFmtId="0" fontId="8" fillId="0" borderId="167" xfId="61" applyFont="1" applyFill="1" applyBorder="1" applyAlignment="1">
      <alignment horizontal="center" vertical="center"/>
      <protection/>
    </xf>
    <xf numFmtId="0" fontId="16" fillId="0" borderId="174" xfId="62" applyFont="1" applyFill="1" applyBorder="1" applyAlignment="1">
      <alignment horizontal="center" vertical="center"/>
      <protection/>
    </xf>
    <xf numFmtId="179" fontId="26" fillId="0" borderId="93" xfId="62" applyNumberFormat="1" applyFont="1" applyFill="1" applyBorder="1" applyAlignment="1" applyProtection="1">
      <alignment horizontal="distributed" vertical="center"/>
      <protection/>
    </xf>
    <xf numFmtId="179" fontId="26" fillId="0" borderId="0" xfId="62" applyNumberFormat="1" applyFont="1" applyFill="1" applyBorder="1" applyAlignment="1" applyProtection="1">
      <alignment horizontal="distributed" vertical="center"/>
      <protection/>
    </xf>
    <xf numFmtId="179" fontId="24" fillId="0" borderId="97" xfId="62" applyNumberFormat="1" applyFont="1" applyFill="1" applyBorder="1" applyAlignment="1" applyProtection="1">
      <alignment horizontal="distributed" vertical="center"/>
      <protection/>
    </xf>
    <xf numFmtId="179" fontId="24" fillId="0" borderId="100" xfId="62" applyNumberFormat="1" applyFont="1" applyFill="1" applyBorder="1" applyAlignment="1" applyProtection="1">
      <alignment horizontal="distributed" vertical="center"/>
      <protection/>
    </xf>
    <xf numFmtId="179" fontId="35" fillId="0" borderId="66" xfId="62" applyNumberFormat="1" applyFont="1" applyFill="1" applyBorder="1" applyAlignment="1">
      <alignment wrapText="1"/>
      <protection/>
    </xf>
    <xf numFmtId="179" fontId="35" fillId="0" borderId="234" xfId="62" applyNumberFormat="1" applyFont="1" applyFill="1" applyBorder="1" applyAlignment="1">
      <alignment wrapText="1"/>
      <protection/>
    </xf>
    <xf numFmtId="0" fontId="8" fillId="0" borderId="174" xfId="62" applyFont="1" applyFill="1" applyBorder="1" applyAlignment="1">
      <alignment horizontal="center" vertical="center"/>
      <protection/>
    </xf>
    <xf numFmtId="179" fontId="26" fillId="0" borderId="244" xfId="62" applyNumberFormat="1" applyFont="1" applyFill="1" applyBorder="1" applyAlignment="1" applyProtection="1">
      <alignment horizontal="distributed" vertical="center"/>
      <protection/>
    </xf>
    <xf numFmtId="179" fontId="26" fillId="0" borderId="245" xfId="62" applyNumberFormat="1" applyFont="1" applyFill="1" applyBorder="1" applyAlignment="1" applyProtection="1">
      <alignment horizontal="distributed" vertical="center"/>
      <protection/>
    </xf>
    <xf numFmtId="179" fontId="8" fillId="0" borderId="166" xfId="64" applyNumberFormat="1" applyFont="1" applyFill="1" applyBorder="1" applyAlignment="1">
      <alignment horizontal="center" vertical="center"/>
      <protection/>
    </xf>
    <xf numFmtId="0" fontId="3" fillId="0" borderId="10" xfId="64" applyNumberFormat="1" applyFont="1" applyFill="1" applyBorder="1" applyAlignment="1">
      <alignment horizontal="center" vertical="center"/>
      <protection/>
    </xf>
    <xf numFmtId="179" fontId="8" fillId="0" borderId="16" xfId="64" applyNumberFormat="1" applyFont="1" applyFill="1" applyBorder="1" applyAlignment="1">
      <alignment horizontal="center" vertical="center"/>
      <protection/>
    </xf>
    <xf numFmtId="0" fontId="3" fillId="0" borderId="12" xfId="64" applyNumberFormat="1" applyFont="1" applyFill="1" applyBorder="1" applyAlignment="1">
      <alignment horizontal="center" vertical="center"/>
      <protection/>
    </xf>
    <xf numFmtId="3" fontId="9" fillId="0" borderId="162" xfId="64" applyNumberFormat="1" applyFont="1" applyFill="1" applyBorder="1" applyAlignment="1">
      <alignment horizontal="distributed" vertical="center"/>
      <protection/>
    </xf>
    <xf numFmtId="0" fontId="3" fillId="0" borderId="16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horizontal="center" vertical="center"/>
      <protection/>
    </xf>
    <xf numFmtId="0" fontId="3" fillId="0" borderId="166" xfId="64" applyNumberFormat="1" applyFont="1" applyFill="1" applyBorder="1" applyAlignment="1">
      <alignment horizontal="center" vertical="center"/>
      <protection/>
    </xf>
    <xf numFmtId="0" fontId="3" fillId="0" borderId="11" xfId="64" applyNumberFormat="1" applyFont="1" applyFill="1" applyBorder="1" applyAlignment="1">
      <alignment horizontal="center" vertical="center"/>
      <protection/>
    </xf>
    <xf numFmtId="179" fontId="8" fillId="0" borderId="204" xfId="64" applyNumberFormat="1" applyFont="1" applyFill="1" applyBorder="1" applyAlignment="1">
      <alignment horizontal="center" vertical="center"/>
      <protection/>
    </xf>
    <xf numFmtId="0" fontId="3" fillId="0" borderId="178" xfId="64" applyNumberFormat="1" applyFont="1" applyFill="1" applyBorder="1" applyAlignment="1">
      <alignment horizontal="center" vertical="center"/>
      <protection/>
    </xf>
    <xf numFmtId="3" fontId="8" fillId="0" borderId="160" xfId="64" applyNumberFormat="1" applyFont="1" applyFill="1" applyBorder="1" applyAlignment="1">
      <alignment horizontal="distributed" vertical="center"/>
      <protection/>
    </xf>
    <xf numFmtId="0" fontId="3" fillId="0" borderId="161" xfId="64" applyNumberFormat="1" applyFont="1" applyFill="1" applyBorder="1" applyAlignment="1">
      <alignment vertical="center"/>
      <protection/>
    </xf>
    <xf numFmtId="3" fontId="8" fillId="0" borderId="93" xfId="64" applyNumberFormat="1" applyFont="1" applyFill="1" applyBorder="1" applyAlignment="1">
      <alignment horizontal="distributed" vertical="distributed"/>
      <protection/>
    </xf>
    <xf numFmtId="3" fontId="8" fillId="0" borderId="115" xfId="64" applyNumberFormat="1" applyFont="1" applyFill="1" applyBorder="1" applyAlignment="1">
      <alignment horizontal="distributed" vertical="distributed"/>
      <protection/>
    </xf>
    <xf numFmtId="3" fontId="39" fillId="0" borderId="160" xfId="64" applyNumberFormat="1" applyFont="1" applyFill="1" applyBorder="1" applyAlignment="1">
      <alignment horizontal="distributed" vertical="center"/>
      <protection/>
    </xf>
    <xf numFmtId="3" fontId="9" fillId="0" borderId="161" xfId="64" applyNumberFormat="1" applyFont="1" applyFill="1" applyBorder="1" applyAlignment="1">
      <alignment horizontal="distributed" vertical="center"/>
      <protection/>
    </xf>
    <xf numFmtId="3" fontId="8" fillId="0" borderId="203" xfId="64" applyNumberFormat="1" applyFont="1" applyFill="1" applyBorder="1" applyAlignment="1">
      <alignment horizontal="center" vertical="center"/>
      <protection/>
    </xf>
    <xf numFmtId="3" fontId="8" fillId="0" borderId="204" xfId="64" applyNumberFormat="1" applyFont="1" applyFill="1" applyBorder="1" applyAlignment="1">
      <alignment horizontal="center" vertical="center"/>
      <protection/>
    </xf>
    <xf numFmtId="3" fontId="8" fillId="0" borderId="93" xfId="64" applyNumberFormat="1" applyFont="1" applyFill="1" applyBorder="1" applyAlignment="1">
      <alignment horizontal="distributed" vertical="center"/>
      <protection/>
    </xf>
    <xf numFmtId="3" fontId="8" fillId="0" borderId="115" xfId="64" applyNumberFormat="1" applyFont="1" applyFill="1" applyBorder="1" applyAlignment="1">
      <alignment horizontal="distributed" vertical="center"/>
      <protection/>
    </xf>
    <xf numFmtId="3" fontId="8" fillId="0" borderId="205" xfId="64" applyNumberFormat="1" applyFont="1" applyFill="1" applyBorder="1" applyAlignment="1">
      <alignment horizontal="center" vertical="center"/>
      <protection/>
    </xf>
    <xf numFmtId="3" fontId="8" fillId="0" borderId="66" xfId="64" applyNumberFormat="1" applyFont="1" applyFill="1" applyBorder="1" applyAlignment="1">
      <alignment horizontal="center" vertical="center"/>
      <protection/>
    </xf>
    <xf numFmtId="3" fontId="8" fillId="0" borderId="114" xfId="64" applyNumberFormat="1" applyFont="1" applyFill="1" applyBorder="1" applyAlignment="1">
      <alignment horizontal="center" vertical="center"/>
      <protection/>
    </xf>
    <xf numFmtId="3" fontId="8" fillId="0" borderId="216" xfId="64" applyNumberFormat="1" applyFont="1" applyFill="1" applyBorder="1" applyAlignment="1">
      <alignment horizontal="center" vertical="center"/>
      <protection/>
    </xf>
    <xf numFmtId="3" fontId="8" fillId="0" borderId="177" xfId="64" applyNumberFormat="1" applyFont="1" applyFill="1" applyBorder="1" applyAlignment="1">
      <alignment horizontal="center" vertical="center"/>
      <protection/>
    </xf>
    <xf numFmtId="0" fontId="16" fillId="0" borderId="179" xfId="64" applyFont="1" applyFill="1" applyBorder="1" applyAlignment="1">
      <alignment vertical="center"/>
      <protection/>
    </xf>
    <xf numFmtId="0" fontId="16" fillId="0" borderId="176" xfId="64" applyNumberFormat="1" applyFont="1" applyFill="1" applyBorder="1" applyAlignment="1">
      <alignment vertical="center"/>
      <protection/>
    </xf>
    <xf numFmtId="0" fontId="16" fillId="0" borderId="116" xfId="64" applyFont="1" applyFill="1" applyBorder="1" applyAlignment="1">
      <alignment horizontal="center" vertical="center"/>
      <protection/>
    </xf>
    <xf numFmtId="0" fontId="16" fillId="0" borderId="176" xfId="64" applyFont="1" applyFill="1" applyBorder="1" applyAlignment="1">
      <alignment horizontal="center" vertical="center"/>
      <protection/>
    </xf>
    <xf numFmtId="0" fontId="16" fillId="0" borderId="111" xfId="64" applyFont="1" applyFill="1" applyBorder="1" applyAlignment="1">
      <alignment horizontal="center" vertical="center"/>
      <protection/>
    </xf>
    <xf numFmtId="0" fontId="16" fillId="0" borderId="162" xfId="64" applyFont="1" applyFill="1" applyBorder="1" applyAlignment="1">
      <alignment horizontal="center" vertical="center"/>
      <protection/>
    </xf>
    <xf numFmtId="0" fontId="16" fillId="0" borderId="112" xfId="64" applyFont="1" applyFill="1" applyBorder="1" applyAlignment="1">
      <alignment horizontal="center" vertical="center"/>
      <protection/>
    </xf>
    <xf numFmtId="0" fontId="16" fillId="0" borderId="163" xfId="64" applyFont="1" applyFill="1" applyBorder="1" applyAlignment="1">
      <alignment horizontal="center" vertical="center"/>
      <protection/>
    </xf>
    <xf numFmtId="0" fontId="16" fillId="0" borderId="166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-3-5民種別齢別資源" xfId="60"/>
    <cellStyle name="標準_01-3-6面積・7蓄積" xfId="61"/>
    <cellStyle name="標準_Ⅰ 森林資源(１７年版_計画G)" xfId="62"/>
    <cellStyle name="標準_Ⅰ_森林資源(１～３表-4）" xfId="63"/>
    <cellStyle name="標準_Ⅰ_森林資源(４表）" xfId="64"/>
    <cellStyle name="標準_Ⅰ_森林資源(第３表－５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林野面積</a:t>
            </a:r>
          </a:p>
        </c:rich>
      </c:tx>
      <c:layout>
        <c:manualLayout>
          <c:xMode val="factor"/>
          <c:yMode val="factor"/>
          <c:x val="-0.38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2425"/>
          <c:w val="0.95175"/>
          <c:h val="0.91925"/>
        </c:manualLayout>
      </c:layout>
      <c:doughnutChart>
        <c:varyColors val="1"/>
        <c:ser>
          <c:idx val="0"/>
          <c:order val="0"/>
          <c:tx>
            <c:strRef>
              <c:f>'1-1(1)土地利用・1-1(2)保有形態別面積'!$N$30:$N$31</c:f>
              <c:strCache>
                <c:ptCount val="1"/>
                <c:pt idx="0">
                  <c:v>林野面積円グラフ 面積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森林総研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'1-1(1)土地利用・1-1(2)保有形態別面積'!$M$32:$M$40</c:f>
              <c:strCache/>
            </c:strRef>
          </c:cat>
          <c:val>
            <c:numRef>
              <c:f>'1-1(1)土地利用・1-1(2)保有形態別面積'!$N$32:$N$40</c:f>
              <c:numCache/>
            </c:numRef>
          </c:val>
        </c:ser>
        <c:ser>
          <c:idx val="1"/>
          <c:order val="1"/>
          <c:tx>
            <c:strRef>
              <c:f>'1-1(1)土地利用・1-1(2)保有形態別面積'!$O$30:$O$31</c:f>
              <c:strCache>
                <c:ptCount val="1"/>
                <c:pt idx="0">
                  <c:v>林野面積円グラフ 面積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'1-1(1)土地利用・1-1(2)保有形態別面積'!$M$32:$M$40</c:f>
              <c:strCache/>
            </c:strRef>
          </c:cat>
          <c:val>
            <c:numRef>
              <c:f>'1-1(1)土地利用・1-1(2)保有形態別面積'!$O$32:$O$40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土地利用面積</a:t>
            </a:r>
          </a:p>
        </c:rich>
      </c:tx>
      <c:layout>
        <c:manualLayout>
          <c:xMode val="factor"/>
          <c:yMode val="factor"/>
          <c:x val="0.36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415"/>
          <c:w val="0.961"/>
          <c:h val="0.9045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'1-1(1)土地利用・1-1(2)保有形態別面積'!$M$19:$M$26</c:f>
              <c:strCache/>
            </c:strRef>
          </c:cat>
          <c:val>
            <c:numRef>
              <c:f>'1-1(1)土地利用・1-1(2)保有形態別面積'!$N$19:$N$26</c:f>
              <c:numCache/>
            </c:numRef>
          </c:val>
        </c:ser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'1-1(1)土地利用・1-1(2)保有形態別面積'!$M$19:$M$26</c:f>
              <c:strCache/>
            </c:strRef>
          </c:cat>
          <c:val>
            <c:numRef>
              <c:f>'1-1(1)土地利用・1-1(2)保有形態別面積'!$O$19:$O$26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</cdr:x>
      <cdr:y>0.1385</cdr:y>
    </cdr:from>
    <cdr:to>
      <cdr:x>0.50625</cdr:x>
      <cdr:y>0.2195</cdr:y>
    </cdr:to>
    <cdr:sp>
      <cdr:nvSpPr>
        <cdr:cNvPr id="1" name="Line 6"/>
        <cdr:cNvSpPr>
          <a:spLocks/>
        </cdr:cNvSpPr>
      </cdr:nvSpPr>
      <cdr:spPr>
        <a:xfrm>
          <a:off x="1809750" y="5429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0.39275</cdr:x>
      <cdr:y>0.748</cdr:y>
    </cdr:from>
    <cdr:to>
      <cdr:x>0.4585</cdr:x>
      <cdr:y>0.80025</cdr:y>
    </cdr:to>
    <cdr:sp>
      <cdr:nvSpPr>
        <cdr:cNvPr id="2" name="Line 7"/>
        <cdr:cNvSpPr>
          <a:spLocks/>
        </cdr:cNvSpPr>
      </cdr:nvSpPr>
      <cdr:spPr>
        <a:xfrm flipV="1">
          <a:off x="1504950" y="2971800"/>
          <a:ext cx="257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0.48325</cdr:x>
      <cdr:y>0.748</cdr:y>
    </cdr:from>
    <cdr:to>
      <cdr:x>0.48325</cdr:x>
      <cdr:y>0.85175</cdr:y>
    </cdr:to>
    <cdr:sp>
      <cdr:nvSpPr>
        <cdr:cNvPr id="3" name="Line 8"/>
        <cdr:cNvSpPr>
          <a:spLocks/>
        </cdr:cNvSpPr>
      </cdr:nvSpPr>
      <cdr:spPr>
        <a:xfrm flipV="1">
          <a:off x="1857375" y="29718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0.50625</cdr:x>
      <cdr:y>0.76075</cdr:y>
    </cdr:from>
    <cdr:to>
      <cdr:x>0.607</cdr:x>
      <cdr:y>0.80025</cdr:y>
    </cdr:to>
    <cdr:sp>
      <cdr:nvSpPr>
        <cdr:cNvPr id="4" name="Line 9"/>
        <cdr:cNvSpPr>
          <a:spLocks/>
        </cdr:cNvSpPr>
      </cdr:nvSpPr>
      <cdr:spPr>
        <a:xfrm flipH="1" flipV="1">
          <a:off x="1943100" y="301942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0.54125</cdr:x>
      <cdr:y>0.63125</cdr:y>
    </cdr:from>
    <cdr:to>
      <cdr:x>0.607</cdr:x>
      <cdr:y>0.67725</cdr:y>
    </cdr:to>
    <cdr:sp>
      <cdr:nvSpPr>
        <cdr:cNvPr id="5" name="Line 10"/>
        <cdr:cNvSpPr>
          <a:spLocks/>
        </cdr:cNvSpPr>
      </cdr:nvSpPr>
      <cdr:spPr>
        <a:xfrm flipH="1">
          <a:off x="2076450" y="2505075"/>
          <a:ext cx="257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16</xdr:row>
      <xdr:rowOff>9525</xdr:rowOff>
    </xdr:from>
    <xdr:to>
      <xdr:col>10</xdr:col>
      <xdr:colOff>266700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3781425" y="3019425"/>
        <a:ext cx="38481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</xdr:row>
      <xdr:rowOff>9525</xdr:rowOff>
    </xdr:from>
    <xdr:to>
      <xdr:col>4</xdr:col>
      <xdr:colOff>666750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28575" y="3019425"/>
        <a:ext cx="37528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180975</xdr:colOff>
      <xdr:row>27</xdr:row>
      <xdr:rowOff>66675</xdr:rowOff>
    </xdr:from>
    <xdr:to>
      <xdr:col>8</xdr:col>
      <xdr:colOff>219075</xdr:colOff>
      <xdr:row>30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81625" y="4762500"/>
          <a:ext cx="7334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総面積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425,054ha</a:t>
          </a:r>
        </a:p>
      </xdr:txBody>
    </xdr:sp>
    <xdr:clientData/>
  </xdr:twoCellAnchor>
  <xdr:twoCellAnchor>
    <xdr:from>
      <xdr:col>1</xdr:col>
      <xdr:colOff>561975</xdr:colOff>
      <xdr:row>27</xdr:row>
      <xdr:rowOff>85725</xdr:rowOff>
    </xdr:from>
    <xdr:to>
      <xdr:col>2</xdr:col>
      <xdr:colOff>571500</xdr:colOff>
      <xdr:row>30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24000" y="4781550"/>
          <a:ext cx="7048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総面積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636,316ha</a:t>
          </a:r>
        </a:p>
      </xdr:txBody>
    </xdr:sp>
    <xdr:clientData/>
  </xdr:twoCellAnchor>
  <xdr:twoCellAnchor>
    <xdr:from>
      <xdr:col>0</xdr:col>
      <xdr:colOff>600075</xdr:colOff>
      <xdr:row>31</xdr:row>
      <xdr:rowOff>9525</xdr:rowOff>
    </xdr:from>
    <xdr:to>
      <xdr:col>1</xdr:col>
      <xdr:colOff>114300</xdr:colOff>
      <xdr:row>32</xdr:row>
      <xdr:rowOff>142875</xdr:rowOff>
    </xdr:to>
    <xdr:sp>
      <xdr:nvSpPr>
        <xdr:cNvPr id="5" name="Line 6"/>
        <xdr:cNvSpPr>
          <a:spLocks/>
        </xdr:cNvSpPr>
      </xdr:nvSpPr>
      <xdr:spPr>
        <a:xfrm flipH="1">
          <a:off x="600075" y="5324475"/>
          <a:ext cx="4762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9525</xdr:rowOff>
    </xdr:from>
    <xdr:to>
      <xdr:col>8</xdr:col>
      <xdr:colOff>0</xdr:colOff>
      <xdr:row>18</xdr:row>
      <xdr:rowOff>266700</xdr:rowOff>
    </xdr:to>
    <xdr:sp>
      <xdr:nvSpPr>
        <xdr:cNvPr id="1" name="Line 1"/>
        <xdr:cNvSpPr>
          <a:spLocks/>
        </xdr:cNvSpPr>
      </xdr:nvSpPr>
      <xdr:spPr>
        <a:xfrm>
          <a:off x="4657725" y="4800600"/>
          <a:ext cx="1838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7</xdr:col>
      <xdr:colOff>962025</xdr:colOff>
      <xdr:row>38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4657725" y="8953500"/>
          <a:ext cx="1781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95"/>
  <sheetViews>
    <sheetView view="pageBreakPreview" zoomScaleSheetLayoutView="100" zoomScalePageLayoutView="0" workbookViewId="0" topLeftCell="A13">
      <selection activeCell="O55" sqref="O55"/>
    </sheetView>
  </sheetViews>
  <sheetFormatPr defaultColWidth="9.00390625" defaultRowHeight="13.5"/>
  <cols>
    <col min="1" max="1" width="12.625" style="3" customWidth="1"/>
    <col min="2" max="3" width="9.125" style="3" customWidth="1"/>
    <col min="4" max="4" width="10.00390625" style="3" customWidth="1"/>
    <col min="5" max="9" width="9.125" style="3" customWidth="1"/>
    <col min="10" max="11" width="10.125" style="3" customWidth="1"/>
    <col min="12" max="13" width="9.00390625" style="3" customWidth="1"/>
    <col min="14" max="15" width="11.25390625" style="3" bestFit="1" customWidth="1"/>
    <col min="16" max="16" width="9.125" style="3" bestFit="1" customWidth="1"/>
    <col min="17" max="21" width="11.25390625" style="3" customWidth="1"/>
    <col min="22" max="22" width="6.125" style="3" customWidth="1"/>
    <col min="23" max="23" width="11.125" style="3" customWidth="1"/>
    <col min="24" max="24" width="11.25390625" style="3" customWidth="1"/>
    <col min="25" max="25" width="11.125" style="3" customWidth="1"/>
    <col min="26" max="26" width="5.625" style="3" customWidth="1"/>
    <col min="27" max="16384" width="9.00390625" style="3" customWidth="1"/>
  </cols>
  <sheetData>
    <row r="1" spans="1:5" ht="14.25" customHeight="1">
      <c r="A1" s="1" t="s">
        <v>15</v>
      </c>
      <c r="B1" s="2"/>
      <c r="C1" s="2"/>
      <c r="D1" s="2"/>
      <c r="E1" s="2"/>
    </row>
    <row r="2" ht="12" customHeight="1">
      <c r="A2" s="4"/>
    </row>
    <row r="3" spans="1:5" s="7" customFormat="1" ht="14.25" customHeight="1">
      <c r="A3" s="5" t="s">
        <v>16</v>
      </c>
      <c r="B3" s="6"/>
      <c r="C3" s="6"/>
      <c r="D3" s="6"/>
      <c r="E3" s="6"/>
    </row>
    <row r="4" s="7" customFormat="1" ht="12" customHeight="1" thickBot="1">
      <c r="I4" s="8" t="s">
        <v>17</v>
      </c>
    </row>
    <row r="5" spans="1:9" s="7" customFormat="1" ht="19.5" customHeight="1">
      <c r="A5" s="878" t="s">
        <v>18</v>
      </c>
      <c r="B5" s="880" t="s">
        <v>19</v>
      </c>
      <c r="C5" s="882" t="s">
        <v>20</v>
      </c>
      <c r="D5" s="883"/>
      <c r="E5" s="883"/>
      <c r="F5" s="882" t="s">
        <v>21</v>
      </c>
      <c r="G5" s="883"/>
      <c r="H5" s="884"/>
      <c r="I5" s="876" t="s">
        <v>22</v>
      </c>
    </row>
    <row r="6" spans="1:11" s="7" customFormat="1" ht="19.5" customHeight="1">
      <c r="A6" s="879"/>
      <c r="B6" s="881"/>
      <c r="C6" s="9" t="s">
        <v>23</v>
      </c>
      <c r="D6" s="9" t="s">
        <v>24</v>
      </c>
      <c r="E6" s="9" t="s">
        <v>25</v>
      </c>
      <c r="F6" s="9" t="s">
        <v>23</v>
      </c>
      <c r="G6" s="9" t="s">
        <v>27</v>
      </c>
      <c r="H6" s="9" t="s">
        <v>26</v>
      </c>
      <c r="I6" s="877"/>
      <c r="K6" s="522"/>
    </row>
    <row r="7" spans="1:11" s="7" customFormat="1" ht="19.5" customHeight="1">
      <c r="A7" s="10" t="s">
        <v>28</v>
      </c>
      <c r="B7" s="11">
        <v>636316</v>
      </c>
      <c r="C7" s="11">
        <v>83800</v>
      </c>
      <c r="D7" s="11">
        <v>31500</v>
      </c>
      <c r="E7" s="11">
        <v>44800</v>
      </c>
      <c r="F7" s="11">
        <f>SUM(G7:H7)</f>
        <v>424021</v>
      </c>
      <c r="G7" s="11">
        <v>197272</v>
      </c>
      <c r="H7" s="11">
        <v>226749</v>
      </c>
      <c r="I7" s="12">
        <f>B7-C7-F7</f>
        <v>128495</v>
      </c>
      <c r="K7" s="292"/>
    </row>
    <row r="8" spans="1:11" s="7" customFormat="1" ht="19.5" customHeight="1">
      <c r="A8" s="10" t="s">
        <v>175</v>
      </c>
      <c r="B8" s="11">
        <v>636316</v>
      </c>
      <c r="C8" s="11">
        <v>78500</v>
      </c>
      <c r="D8" s="11">
        <v>29400</v>
      </c>
      <c r="E8" s="11">
        <v>43000</v>
      </c>
      <c r="F8" s="11">
        <v>424464</v>
      </c>
      <c r="G8" s="11">
        <v>197030</v>
      </c>
      <c r="H8" s="11">
        <v>227433</v>
      </c>
      <c r="I8" s="12">
        <f>B8-C8-F8</f>
        <v>133352</v>
      </c>
      <c r="K8" s="292"/>
    </row>
    <row r="9" spans="1:11" s="7" customFormat="1" ht="19.5" customHeight="1" thickBot="1">
      <c r="A9" s="527" t="s">
        <v>397</v>
      </c>
      <c r="B9" s="13">
        <v>636316</v>
      </c>
      <c r="C9" s="13">
        <f>'1-2土地利用'!G9</f>
        <v>76900</v>
      </c>
      <c r="D9" s="433">
        <v>28700</v>
      </c>
      <c r="E9" s="433">
        <v>48100</v>
      </c>
      <c r="F9" s="13">
        <f>SUM(G9:H9)</f>
        <v>425054.19999999995</v>
      </c>
      <c r="G9" s="14">
        <f>C54</f>
        <v>196821</v>
      </c>
      <c r="H9" s="14">
        <f>F54</f>
        <v>228233.19999999998</v>
      </c>
      <c r="I9" s="15">
        <f>B9-C9-F9</f>
        <v>134361.80000000005</v>
      </c>
      <c r="K9" s="523"/>
    </row>
    <row r="10" s="7" customFormat="1" ht="12" customHeight="1"/>
    <row r="11" spans="1:11" s="7" customFormat="1" ht="13.5" customHeight="1">
      <c r="A11" s="874" t="s">
        <v>392</v>
      </c>
      <c r="B11" s="875"/>
      <c r="C11" s="875"/>
      <c r="D11" s="875"/>
      <c r="E11" s="875"/>
      <c r="F11" s="875"/>
      <c r="G11" s="875"/>
      <c r="H11" s="875"/>
      <c r="I11" s="875"/>
      <c r="J11" s="875"/>
      <c r="K11" s="875"/>
    </row>
    <row r="12" spans="1:11" s="7" customFormat="1" ht="13.5" customHeight="1">
      <c r="A12" s="874" t="s">
        <v>232</v>
      </c>
      <c r="B12" s="875"/>
      <c r="C12" s="875"/>
      <c r="D12" s="875"/>
      <c r="E12" s="875"/>
      <c r="F12" s="875"/>
      <c r="G12" s="875"/>
      <c r="H12" s="875"/>
      <c r="I12" s="875"/>
      <c r="J12" s="875"/>
      <c r="K12" s="875"/>
    </row>
    <row r="13" spans="1:4" s="7" customFormat="1" ht="12" customHeight="1">
      <c r="A13" s="16"/>
      <c r="B13" s="6"/>
      <c r="C13" s="6"/>
      <c r="D13" s="6"/>
    </row>
    <row r="14" spans="1:4" s="7" customFormat="1" ht="12" customHeight="1">
      <c r="A14" s="16"/>
      <c r="B14" s="6"/>
      <c r="C14" s="6"/>
      <c r="D14" s="6"/>
    </row>
    <row r="15" spans="1:4" s="7" customFormat="1" ht="12" customHeight="1">
      <c r="A15" s="16"/>
      <c r="B15" s="6"/>
      <c r="C15" s="6"/>
      <c r="D15" s="6"/>
    </row>
    <row r="16" spans="1:4" s="7" customFormat="1" ht="12" customHeight="1">
      <c r="A16" s="16"/>
      <c r="B16" s="6"/>
      <c r="C16" s="6"/>
      <c r="D16" s="6"/>
    </row>
    <row r="17" spans="1:16" s="7" customFormat="1" ht="12" customHeight="1" thickBot="1">
      <c r="A17" s="16"/>
      <c r="B17" s="6"/>
      <c r="C17" s="6"/>
      <c r="D17" s="6"/>
      <c r="M17" s="17" t="s">
        <v>29</v>
      </c>
      <c r="N17" s="17"/>
      <c r="O17" s="17"/>
      <c r="P17" s="17"/>
    </row>
    <row r="18" spans="13:16" s="7" customFormat="1" ht="12" customHeight="1">
      <c r="M18" s="18" t="s">
        <v>0</v>
      </c>
      <c r="N18" s="863" t="s">
        <v>1</v>
      </c>
      <c r="O18" s="864"/>
      <c r="P18" s="19" t="s">
        <v>2</v>
      </c>
    </row>
    <row r="19" spans="13:16" s="7" customFormat="1" ht="12" customHeight="1">
      <c r="M19" s="20" t="s">
        <v>3</v>
      </c>
      <c r="N19" s="21">
        <f>H9</f>
        <v>228233.19999999998</v>
      </c>
      <c r="O19" s="22"/>
      <c r="P19" s="23">
        <f>ROUND(N19/N$27*100,1)</f>
        <v>35.9</v>
      </c>
    </row>
    <row r="20" spans="13:16" s="7" customFormat="1" ht="12" customHeight="1">
      <c r="M20" s="20" t="s">
        <v>4</v>
      </c>
      <c r="N20" s="21">
        <f>G9</f>
        <v>196821</v>
      </c>
      <c r="O20" s="22"/>
      <c r="P20" s="23">
        <f>ROUND(N20/N$27*100,1)</f>
        <v>30.9</v>
      </c>
    </row>
    <row r="21" spans="1:16" s="7" customFormat="1" ht="12" customHeight="1">
      <c r="A21" s="8"/>
      <c r="M21" s="20" t="s">
        <v>30</v>
      </c>
      <c r="N21" s="21"/>
      <c r="O21" s="22">
        <f>SUM(N19:N20)</f>
        <v>425054.19999999995</v>
      </c>
      <c r="P21" s="23">
        <f>ROUND(O21/O$27*100,1)</f>
        <v>66.8</v>
      </c>
    </row>
    <row r="22" spans="13:16" s="7" customFormat="1" ht="12" customHeight="1">
      <c r="M22" s="20" t="s">
        <v>5</v>
      </c>
      <c r="N22" s="21">
        <f>D9</f>
        <v>28700</v>
      </c>
      <c r="O22" s="22"/>
      <c r="P22" s="23">
        <f>ROUND(N22/N$27*100,1)</f>
        <v>4.5</v>
      </c>
    </row>
    <row r="23" spans="13:16" s="7" customFormat="1" ht="12" customHeight="1">
      <c r="M23" s="20" t="s">
        <v>6</v>
      </c>
      <c r="N23" s="21">
        <f>E9</f>
        <v>48100</v>
      </c>
      <c r="O23" s="22"/>
      <c r="P23" s="23">
        <f>ROUND(N23/N$27*100,1)</f>
        <v>7.6</v>
      </c>
    </row>
    <row r="24" spans="1:16" s="7" customFormat="1" ht="12" customHeight="1">
      <c r="A24" s="8"/>
      <c r="M24" s="20"/>
      <c r="N24" s="21"/>
      <c r="O24" s="22"/>
      <c r="P24" s="23">
        <f>ROUND(N24/N$27*100,1)</f>
        <v>0</v>
      </c>
    </row>
    <row r="25" spans="13:16" s="7" customFormat="1" ht="12" customHeight="1">
      <c r="M25" s="20" t="s">
        <v>31</v>
      </c>
      <c r="N25" s="21"/>
      <c r="O25" s="22">
        <f>SUM(N22:N24)</f>
        <v>76800</v>
      </c>
      <c r="P25" s="23">
        <f>ROUND(O25/O$27*100,1)</f>
        <v>12.1</v>
      </c>
    </row>
    <row r="26" spans="13:16" s="7" customFormat="1" ht="12" customHeight="1">
      <c r="M26" s="20" t="s">
        <v>7</v>
      </c>
      <c r="N26" s="21">
        <f>I9</f>
        <v>134361.80000000005</v>
      </c>
      <c r="O26" s="22">
        <f>I9</f>
        <v>134361.80000000005</v>
      </c>
      <c r="P26" s="23">
        <f>ROUND(N26/N$27*100,1)</f>
        <v>21.1</v>
      </c>
    </row>
    <row r="27" spans="13:16" s="7" customFormat="1" ht="12.75" thickBot="1">
      <c r="M27" s="24" t="s">
        <v>8</v>
      </c>
      <c r="N27" s="25">
        <f>SUM(N19:N26)</f>
        <v>636216</v>
      </c>
      <c r="O27" s="26">
        <f>O21+O25+O26</f>
        <v>636216</v>
      </c>
      <c r="P27" s="27">
        <f>ROUND(N27/N$27*100,1)</f>
        <v>100</v>
      </c>
    </row>
    <row r="28" spans="13:16" s="7" customFormat="1" ht="12">
      <c r="M28" s="17"/>
      <c r="N28" s="17"/>
      <c r="O28" s="17"/>
      <c r="P28" s="17"/>
    </row>
    <row r="29" s="7" customFormat="1" ht="12"/>
    <row r="30" spans="13:16" s="7" customFormat="1" ht="12.75" thickBot="1">
      <c r="M30" s="17" t="s">
        <v>32</v>
      </c>
      <c r="N30" s="17"/>
      <c r="O30" s="17"/>
      <c r="P30" s="28"/>
    </row>
    <row r="31" spans="13:16" s="7" customFormat="1" ht="12">
      <c r="M31" s="18" t="s">
        <v>9</v>
      </c>
      <c r="N31" s="863" t="s">
        <v>1</v>
      </c>
      <c r="O31" s="865"/>
      <c r="P31" s="19" t="s">
        <v>2</v>
      </c>
    </row>
    <row r="32" spans="13:16" s="7" customFormat="1" ht="12">
      <c r="M32" s="20" t="s">
        <v>10</v>
      </c>
      <c r="N32" s="21">
        <f>G54</f>
        <v>195171.4</v>
      </c>
      <c r="O32" s="22"/>
      <c r="P32" s="23">
        <f>ROUND(N32/N$41*100,1)</f>
        <v>45.9</v>
      </c>
    </row>
    <row r="33" spans="13:16" s="7" customFormat="1" ht="12">
      <c r="M33" s="20" t="s">
        <v>11</v>
      </c>
      <c r="N33" s="21">
        <f>I54</f>
        <v>14266.92</v>
      </c>
      <c r="O33" s="22"/>
      <c r="P33" s="23">
        <f>ROUND(N33/N$41*100,1)</f>
        <v>3.4</v>
      </c>
    </row>
    <row r="34" spans="13:16" s="7" customFormat="1" ht="12">
      <c r="M34" s="20" t="s">
        <v>12</v>
      </c>
      <c r="N34" s="21">
        <f>H54</f>
        <v>6969.460000000001</v>
      </c>
      <c r="O34" s="22"/>
      <c r="P34" s="23">
        <f>ROUND(N34/N$41*100,1)</f>
        <v>1.6</v>
      </c>
    </row>
    <row r="35" spans="13:16" s="7" customFormat="1" ht="12">
      <c r="M35" s="20" t="s">
        <v>250</v>
      </c>
      <c r="N35" s="21">
        <f>J54</f>
        <v>6795.639999999999</v>
      </c>
      <c r="O35" s="22"/>
      <c r="P35" s="23">
        <f>ROUND(N35/N$41*100,1)</f>
        <v>1.6</v>
      </c>
    </row>
    <row r="36" spans="13:16" s="7" customFormat="1" ht="12">
      <c r="M36" s="20" t="s">
        <v>13</v>
      </c>
      <c r="N36" s="21">
        <f>K54</f>
        <v>5029.78</v>
      </c>
      <c r="O36" s="22"/>
      <c r="P36" s="23">
        <f>ROUND(N36/N$41*100,1)</f>
        <v>1.2</v>
      </c>
    </row>
    <row r="37" spans="13:16" s="7" customFormat="1" ht="12">
      <c r="M37" s="20" t="s">
        <v>33</v>
      </c>
      <c r="N37" s="21"/>
      <c r="O37" s="22">
        <f>SUM(N32:N36)</f>
        <v>228233.19999999998</v>
      </c>
      <c r="P37" s="23">
        <f>ROUND(O37/O$41*100,1)</f>
        <v>53.7</v>
      </c>
    </row>
    <row r="38" spans="13:16" s="7" customFormat="1" ht="12">
      <c r="M38" s="20" t="s">
        <v>14</v>
      </c>
      <c r="N38" s="21">
        <f>D54</f>
        <v>195153</v>
      </c>
      <c r="O38" s="22"/>
      <c r="P38" s="23">
        <f>ROUND(N38/N$41*100,1)</f>
        <v>45.9</v>
      </c>
    </row>
    <row r="39" spans="13:16" s="7" customFormat="1" ht="12">
      <c r="M39" s="20" t="s">
        <v>7</v>
      </c>
      <c r="N39" s="21">
        <f>E54</f>
        <v>1668</v>
      </c>
      <c r="O39" s="22"/>
      <c r="P39" s="23">
        <f>ROUND(N39/N$41*100,1)</f>
        <v>0.4</v>
      </c>
    </row>
    <row r="40" spans="13:16" s="7" customFormat="1" ht="12">
      <c r="M40" s="29" t="s">
        <v>34</v>
      </c>
      <c r="N40" s="30"/>
      <c r="O40" s="31">
        <f>SUM(N38:N39)</f>
        <v>196821</v>
      </c>
      <c r="P40" s="23">
        <f>ROUND(O40/O$41*100,1)</f>
        <v>46.3</v>
      </c>
    </row>
    <row r="41" spans="13:16" s="7" customFormat="1" ht="12.75" thickBot="1">
      <c r="M41" s="24" t="s">
        <v>8</v>
      </c>
      <c r="N41" s="25">
        <f>SUM(N32:N39)</f>
        <v>425054.19999999995</v>
      </c>
      <c r="O41" s="26">
        <f>O37+O40</f>
        <v>425054.19999999995</v>
      </c>
      <c r="P41" s="27">
        <f>ROUND(N41/N$41*100,1)</f>
        <v>100</v>
      </c>
    </row>
    <row r="42" s="7" customFormat="1" ht="12"/>
    <row r="43" s="7" customFormat="1" ht="12"/>
    <row r="44" s="7" customFormat="1" ht="12"/>
    <row r="45" s="7" customFormat="1" ht="12"/>
    <row r="46" s="7" customFormat="1" ht="12"/>
    <row r="47" s="7" customFormat="1" ht="12"/>
    <row r="48" s="33" customFormat="1" ht="14.25" customHeight="1">
      <c r="A48" s="32" t="s">
        <v>35</v>
      </c>
    </row>
    <row r="49" s="33" customFormat="1" ht="12" customHeight="1" thickBot="1">
      <c r="K49" s="33" t="s">
        <v>17</v>
      </c>
    </row>
    <row r="50" spans="1:11" s="33" customFormat="1" ht="19.5" customHeight="1">
      <c r="A50" s="866" t="s">
        <v>36</v>
      </c>
      <c r="B50" s="868" t="s">
        <v>19</v>
      </c>
      <c r="C50" s="870" t="s">
        <v>37</v>
      </c>
      <c r="D50" s="871"/>
      <c r="E50" s="872"/>
      <c r="F50" s="870" t="s">
        <v>38</v>
      </c>
      <c r="G50" s="871"/>
      <c r="H50" s="871"/>
      <c r="I50" s="871"/>
      <c r="J50" s="871"/>
      <c r="K50" s="873"/>
    </row>
    <row r="51" spans="1:11" s="33" customFormat="1" ht="19.5" customHeight="1">
      <c r="A51" s="867"/>
      <c r="B51" s="869"/>
      <c r="C51" s="34" t="s">
        <v>39</v>
      </c>
      <c r="D51" s="34" t="s">
        <v>40</v>
      </c>
      <c r="E51" s="34" t="s">
        <v>22</v>
      </c>
      <c r="F51" s="34" t="s">
        <v>39</v>
      </c>
      <c r="G51" s="34" t="s">
        <v>41</v>
      </c>
      <c r="H51" s="34" t="s">
        <v>42</v>
      </c>
      <c r="I51" s="34" t="s">
        <v>43</v>
      </c>
      <c r="J51" s="34" t="s">
        <v>250</v>
      </c>
      <c r="K51" s="35" t="s">
        <v>44</v>
      </c>
    </row>
    <row r="52" spans="1:11" s="33" customFormat="1" ht="19.5" customHeight="1">
      <c r="A52" s="10" t="s">
        <v>28</v>
      </c>
      <c r="B52" s="11">
        <f>C52+F52</f>
        <v>424021</v>
      </c>
      <c r="C52" s="11">
        <f>SUM(D52:E52)</f>
        <v>197272</v>
      </c>
      <c r="D52" s="11">
        <v>195574</v>
      </c>
      <c r="E52" s="11">
        <v>1698</v>
      </c>
      <c r="F52" s="11">
        <f>SUM(G52:K52)</f>
        <v>226749</v>
      </c>
      <c r="G52" s="11">
        <v>195784</v>
      </c>
      <c r="H52" s="11">
        <v>6738</v>
      </c>
      <c r="I52" s="11">
        <v>13073</v>
      </c>
      <c r="J52" s="11">
        <v>6322</v>
      </c>
      <c r="K52" s="12">
        <v>4832</v>
      </c>
    </row>
    <row r="53" spans="1:11" s="33" customFormat="1" ht="19.5" customHeight="1">
      <c r="A53" s="10" t="s">
        <v>175</v>
      </c>
      <c r="B53" s="11">
        <f>C53+F53</f>
        <v>424433.42000000004</v>
      </c>
      <c r="C53" s="11">
        <f>D53+E53</f>
        <v>197000.42</v>
      </c>
      <c r="D53" s="11">
        <v>195332.42</v>
      </c>
      <c r="E53" s="11">
        <v>1668</v>
      </c>
      <c r="F53" s="862">
        <v>227433</v>
      </c>
      <c r="G53" s="11">
        <v>195264.74</v>
      </c>
      <c r="H53" s="11">
        <v>6652.35</v>
      </c>
      <c r="I53" s="11">
        <v>13830.42</v>
      </c>
      <c r="J53" s="11">
        <v>6617.99</v>
      </c>
      <c r="K53" s="12">
        <v>5067.7</v>
      </c>
    </row>
    <row r="54" spans="1:11" s="33" customFormat="1" ht="19.5" customHeight="1" thickBot="1">
      <c r="A54" s="527" t="s">
        <v>391</v>
      </c>
      <c r="B54" s="13">
        <f>C54+F54</f>
        <v>425054.19999999995</v>
      </c>
      <c r="C54" s="13">
        <f>SUM(D54:E54)</f>
        <v>196821</v>
      </c>
      <c r="D54" s="433">
        <v>195153</v>
      </c>
      <c r="E54" s="433">
        <v>1668</v>
      </c>
      <c r="F54" s="13">
        <f>SUM(G54:K54)</f>
        <v>228233.19999999998</v>
      </c>
      <c r="G54" s="433">
        <f>'1-3(1)保有面積'!R10+'1-3(1)保有面積'!Q10</f>
        <v>195171.4</v>
      </c>
      <c r="H54" s="433">
        <f>'1-3(1)保有面積'!K10</f>
        <v>6969.460000000001</v>
      </c>
      <c r="I54" s="13">
        <f>'1-3(1)保有面積'!L10+'1-3(1)保有面積'!M10</f>
        <v>14266.92</v>
      </c>
      <c r="J54" s="433">
        <f>'1-3(1)保有面積'!O10</f>
        <v>6795.639999999999</v>
      </c>
      <c r="K54" s="544">
        <f>'1-3(1)保有面積'!P10</f>
        <v>5029.78</v>
      </c>
    </row>
    <row r="55" s="33" customFormat="1" ht="12" customHeight="1"/>
    <row r="56" s="33" customFormat="1" ht="13.5" customHeight="1">
      <c r="A56" s="566" t="s">
        <v>396</v>
      </c>
    </row>
    <row r="57" s="33" customFormat="1" ht="13.5" customHeight="1">
      <c r="A57" s="566" t="s">
        <v>233</v>
      </c>
    </row>
    <row r="58" s="33" customFormat="1" ht="13.5" customHeight="1">
      <c r="A58" s="36"/>
    </row>
    <row r="59" s="33" customFormat="1" ht="13.5" customHeight="1">
      <c r="A59" s="566" t="s">
        <v>45</v>
      </c>
    </row>
    <row r="60" s="33" customFormat="1" ht="13.5" customHeight="1">
      <c r="A60" s="566" t="s">
        <v>46</v>
      </c>
    </row>
    <row r="61" s="33" customFormat="1" ht="13.5" customHeight="1">
      <c r="A61" s="566" t="s">
        <v>47</v>
      </c>
    </row>
    <row r="62" s="7" customFormat="1" ht="13.5" customHeight="1">
      <c r="A62" s="566" t="s">
        <v>251</v>
      </c>
    </row>
    <row r="63" s="7" customFormat="1" ht="13.5" customHeight="1">
      <c r="A63" s="566" t="s">
        <v>252</v>
      </c>
    </row>
    <row r="64" s="7" customFormat="1" ht="18.75">
      <c r="G64" s="37"/>
    </row>
    <row r="65" spans="7:14" s="7" customFormat="1" ht="18.75">
      <c r="G65" s="37"/>
      <c r="N65" s="7" t="s">
        <v>366</v>
      </c>
    </row>
    <row r="66" spans="13:21" ht="19.5" customHeight="1">
      <c r="M66" s="7"/>
      <c r="N66" s="7"/>
      <c r="O66" s="7"/>
      <c r="P66" s="7"/>
      <c r="Q66" s="7"/>
      <c r="R66" s="7"/>
      <c r="S66" s="7"/>
      <c r="T66" s="7"/>
      <c r="U66" s="7"/>
    </row>
    <row r="67" spans="13:25" ht="19.5" customHeight="1">
      <c r="M67" s="797"/>
      <c r="N67" s="797" t="s">
        <v>8</v>
      </c>
      <c r="O67" s="797" t="s">
        <v>8</v>
      </c>
      <c r="P67" s="7"/>
      <c r="Q67" s="797" t="s">
        <v>8</v>
      </c>
      <c r="R67" s="797" t="s">
        <v>8</v>
      </c>
      <c r="S67" s="797" t="s">
        <v>8</v>
      </c>
      <c r="T67" s="797" t="s">
        <v>8</v>
      </c>
      <c r="U67" s="797" t="s">
        <v>8</v>
      </c>
      <c r="W67" s="797" t="s">
        <v>8</v>
      </c>
      <c r="X67" s="797" t="s">
        <v>8</v>
      </c>
      <c r="Y67" s="797" t="s">
        <v>8</v>
      </c>
    </row>
    <row r="68" spans="13:25" ht="19.5" customHeight="1">
      <c r="M68" s="797"/>
      <c r="N68" s="797" t="s">
        <v>365</v>
      </c>
      <c r="O68" s="797" t="s">
        <v>365</v>
      </c>
      <c r="P68" s="7"/>
      <c r="Q68" s="797" t="s">
        <v>365</v>
      </c>
      <c r="R68" s="797" t="s">
        <v>365</v>
      </c>
      <c r="S68" s="797" t="s">
        <v>365</v>
      </c>
      <c r="T68" s="797" t="s">
        <v>365</v>
      </c>
      <c r="U68" s="797" t="s">
        <v>365</v>
      </c>
      <c r="W68" s="797" t="s">
        <v>365</v>
      </c>
      <c r="X68" s="797" t="s">
        <v>365</v>
      </c>
      <c r="Y68" s="797" t="s">
        <v>365</v>
      </c>
    </row>
    <row r="69" spans="13:25" ht="19.5" customHeight="1">
      <c r="M69" s="7"/>
      <c r="N69" s="7"/>
      <c r="O69" s="7"/>
      <c r="P69" s="7"/>
      <c r="Q69" s="7"/>
      <c r="R69" s="7"/>
      <c r="S69" s="7"/>
      <c r="T69" s="7"/>
      <c r="U69" s="7"/>
      <c r="W69" s="7"/>
      <c r="X69" s="7"/>
      <c r="Y69" s="7"/>
    </row>
    <row r="70" spans="13:25" ht="19.5" customHeight="1">
      <c r="M70" s="797"/>
      <c r="N70" s="797" t="s">
        <v>8</v>
      </c>
      <c r="O70" s="797" t="s">
        <v>8</v>
      </c>
      <c r="P70" s="7"/>
      <c r="Q70" s="797" t="s">
        <v>8</v>
      </c>
      <c r="R70" s="797" t="s">
        <v>8</v>
      </c>
      <c r="S70" s="797" t="s">
        <v>8</v>
      </c>
      <c r="T70" s="797" t="s">
        <v>8</v>
      </c>
      <c r="U70" s="797" t="s">
        <v>8</v>
      </c>
      <c r="W70" s="797" t="s">
        <v>8</v>
      </c>
      <c r="X70" s="797" t="s">
        <v>8</v>
      </c>
      <c r="Y70" s="797" t="s">
        <v>8</v>
      </c>
    </row>
    <row r="71" spans="13:25" ht="19.5" customHeight="1">
      <c r="M71" s="797"/>
      <c r="N71" s="797" t="s">
        <v>365</v>
      </c>
      <c r="O71" s="797" t="s">
        <v>365</v>
      </c>
      <c r="P71" s="7"/>
      <c r="Q71" s="797" t="s">
        <v>365</v>
      </c>
      <c r="R71" s="797" t="s">
        <v>365</v>
      </c>
      <c r="S71" s="797" t="s">
        <v>365</v>
      </c>
      <c r="T71" s="797" t="s">
        <v>365</v>
      </c>
      <c r="U71" s="797" t="s">
        <v>365</v>
      </c>
      <c r="W71" s="797" t="s">
        <v>365</v>
      </c>
      <c r="X71" s="797" t="s">
        <v>365</v>
      </c>
      <c r="Y71" s="797" t="s">
        <v>365</v>
      </c>
    </row>
    <row r="72" spans="13:25" ht="19.5" customHeight="1">
      <c r="M72" s="7"/>
      <c r="N72" s="7"/>
      <c r="O72" s="7"/>
      <c r="P72" s="7"/>
      <c r="Q72" s="7"/>
      <c r="R72" s="7"/>
      <c r="S72" s="7"/>
      <c r="T72" s="7"/>
      <c r="U72" s="7"/>
      <c r="W72" s="7"/>
      <c r="X72" s="7"/>
      <c r="Y72" s="7"/>
    </row>
    <row r="73" spans="13:25" ht="19.5" customHeight="1">
      <c r="M73" s="797"/>
      <c r="N73" s="797" t="s">
        <v>8</v>
      </c>
      <c r="O73" s="797" t="s">
        <v>8</v>
      </c>
      <c r="P73" s="7"/>
      <c r="Q73" s="797" t="s">
        <v>8</v>
      </c>
      <c r="R73" s="797" t="s">
        <v>8</v>
      </c>
      <c r="S73" s="797" t="s">
        <v>8</v>
      </c>
      <c r="T73" s="797" t="s">
        <v>8</v>
      </c>
      <c r="U73" s="797" t="s">
        <v>8</v>
      </c>
      <c r="W73" s="797" t="s">
        <v>8</v>
      </c>
      <c r="X73" s="797" t="s">
        <v>8</v>
      </c>
      <c r="Y73" s="797" t="s">
        <v>8</v>
      </c>
    </row>
    <row r="74" spans="13:25" ht="19.5" customHeight="1">
      <c r="M74" s="797"/>
      <c r="N74" s="797" t="s">
        <v>365</v>
      </c>
      <c r="O74" s="797" t="s">
        <v>365</v>
      </c>
      <c r="P74" s="7"/>
      <c r="Q74" s="797" t="s">
        <v>365</v>
      </c>
      <c r="R74" s="797" t="s">
        <v>365</v>
      </c>
      <c r="S74" s="797" t="s">
        <v>365</v>
      </c>
      <c r="T74" s="797" t="s">
        <v>365</v>
      </c>
      <c r="U74" s="797" t="s">
        <v>365</v>
      </c>
      <c r="W74" s="797" t="s">
        <v>365</v>
      </c>
      <c r="X74" s="797" t="s">
        <v>365</v>
      </c>
      <c r="Y74" s="797" t="s">
        <v>365</v>
      </c>
    </row>
    <row r="75" spans="13:25" ht="19.5" customHeight="1">
      <c r="M75" s="7"/>
      <c r="N75" s="7"/>
      <c r="O75" s="7"/>
      <c r="P75" s="7"/>
      <c r="Q75" s="7"/>
      <c r="R75" s="7"/>
      <c r="S75" s="7"/>
      <c r="T75" s="7"/>
      <c r="U75" s="7"/>
      <c r="W75" s="7"/>
      <c r="X75" s="7"/>
      <c r="Y75" s="7"/>
    </row>
    <row r="76" spans="13:25" ht="19.5" customHeight="1">
      <c r="M76" s="797"/>
      <c r="N76" s="797" t="s">
        <v>8</v>
      </c>
      <c r="O76" s="797" t="s">
        <v>8</v>
      </c>
      <c r="P76" s="7"/>
      <c r="Q76" s="797" t="s">
        <v>8</v>
      </c>
      <c r="R76" s="797" t="s">
        <v>8</v>
      </c>
      <c r="S76" s="797" t="s">
        <v>8</v>
      </c>
      <c r="T76" s="797" t="s">
        <v>8</v>
      </c>
      <c r="U76" s="797" t="s">
        <v>8</v>
      </c>
      <c r="W76" s="797" t="s">
        <v>8</v>
      </c>
      <c r="X76" s="797" t="s">
        <v>8</v>
      </c>
      <c r="Y76" s="797" t="s">
        <v>8</v>
      </c>
    </row>
    <row r="77" spans="13:25" ht="19.5" customHeight="1">
      <c r="M77" s="797"/>
      <c r="N77" s="797" t="s">
        <v>365</v>
      </c>
      <c r="O77" s="797" t="s">
        <v>365</v>
      </c>
      <c r="P77" s="7"/>
      <c r="Q77" s="797" t="s">
        <v>365</v>
      </c>
      <c r="R77" s="797" t="s">
        <v>365</v>
      </c>
      <c r="S77" s="797" t="s">
        <v>365</v>
      </c>
      <c r="T77" s="797" t="s">
        <v>365</v>
      </c>
      <c r="U77" s="797" t="s">
        <v>365</v>
      </c>
      <c r="W77" s="797" t="s">
        <v>365</v>
      </c>
      <c r="X77" s="797" t="s">
        <v>365</v>
      </c>
      <c r="Y77" s="797" t="s">
        <v>365</v>
      </c>
    </row>
    <row r="78" spans="13:25" ht="19.5" customHeight="1">
      <c r="M78" s="7"/>
      <c r="N78" s="7"/>
      <c r="O78" s="7"/>
      <c r="P78" s="7"/>
      <c r="Q78" s="7"/>
      <c r="R78" s="7"/>
      <c r="S78" s="7"/>
      <c r="T78" s="7"/>
      <c r="U78" s="7"/>
      <c r="W78" s="7"/>
      <c r="X78" s="7"/>
      <c r="Y78" s="7"/>
    </row>
    <row r="79" spans="13:25" ht="19.5" customHeight="1">
      <c r="M79" s="797"/>
      <c r="N79" s="797" t="s">
        <v>8</v>
      </c>
      <c r="O79" s="797" t="s">
        <v>8</v>
      </c>
      <c r="P79" s="7"/>
      <c r="Q79" s="797" t="s">
        <v>8</v>
      </c>
      <c r="R79" s="797" t="s">
        <v>8</v>
      </c>
      <c r="S79" s="797" t="s">
        <v>8</v>
      </c>
      <c r="T79" s="797" t="s">
        <v>8</v>
      </c>
      <c r="U79" s="797" t="s">
        <v>8</v>
      </c>
      <c r="W79" s="797" t="s">
        <v>8</v>
      </c>
      <c r="X79" s="797" t="s">
        <v>8</v>
      </c>
      <c r="Y79" s="797" t="s">
        <v>8</v>
      </c>
    </row>
    <row r="80" spans="13:25" ht="19.5" customHeight="1">
      <c r="M80" s="797"/>
      <c r="N80" s="797" t="s">
        <v>365</v>
      </c>
      <c r="O80" s="797" t="s">
        <v>365</v>
      </c>
      <c r="P80" s="7"/>
      <c r="Q80" s="797" t="s">
        <v>365</v>
      </c>
      <c r="R80" s="797" t="s">
        <v>365</v>
      </c>
      <c r="S80" s="797" t="s">
        <v>365</v>
      </c>
      <c r="T80" s="797" t="s">
        <v>365</v>
      </c>
      <c r="U80" s="797" t="s">
        <v>365</v>
      </c>
      <c r="W80" s="797" t="s">
        <v>365</v>
      </c>
      <c r="X80" s="797" t="s">
        <v>365</v>
      </c>
      <c r="Y80" s="797" t="s">
        <v>365</v>
      </c>
    </row>
    <row r="81" spans="13:25" ht="19.5" customHeight="1">
      <c r="M81" s="7"/>
      <c r="N81" s="7"/>
      <c r="O81" s="7"/>
      <c r="P81" s="7"/>
      <c r="Q81" s="7"/>
      <c r="R81" s="7"/>
      <c r="S81" s="7"/>
      <c r="T81" s="7"/>
      <c r="U81" s="7"/>
      <c r="W81" s="7"/>
      <c r="X81" s="7"/>
      <c r="Y81" s="7"/>
    </row>
    <row r="82" spans="13:25" ht="19.5" customHeight="1">
      <c r="M82" s="797"/>
      <c r="N82" s="797" t="s">
        <v>8</v>
      </c>
      <c r="O82" s="797" t="s">
        <v>8</v>
      </c>
      <c r="P82" s="7"/>
      <c r="Q82" s="797" t="s">
        <v>8</v>
      </c>
      <c r="R82" s="797" t="s">
        <v>8</v>
      </c>
      <c r="S82" s="797" t="s">
        <v>8</v>
      </c>
      <c r="T82" s="797" t="s">
        <v>8</v>
      </c>
      <c r="U82" s="797" t="s">
        <v>8</v>
      </c>
      <c r="W82" s="797" t="s">
        <v>8</v>
      </c>
      <c r="X82" s="797" t="s">
        <v>8</v>
      </c>
      <c r="Y82" s="797" t="s">
        <v>8</v>
      </c>
    </row>
    <row r="83" spans="13:25" ht="19.5" customHeight="1">
      <c r="M83" s="797"/>
      <c r="N83" s="797" t="s">
        <v>365</v>
      </c>
      <c r="O83" s="797" t="s">
        <v>365</v>
      </c>
      <c r="P83" s="7"/>
      <c r="Q83" s="797" t="s">
        <v>365</v>
      </c>
      <c r="R83" s="797" t="s">
        <v>365</v>
      </c>
      <c r="S83" s="797" t="s">
        <v>365</v>
      </c>
      <c r="T83" s="797" t="s">
        <v>365</v>
      </c>
      <c r="U83" s="797" t="s">
        <v>365</v>
      </c>
      <c r="W83" s="797" t="s">
        <v>365</v>
      </c>
      <c r="X83" s="797" t="s">
        <v>365</v>
      </c>
      <c r="Y83" s="797" t="s">
        <v>365</v>
      </c>
    </row>
    <row r="85" spans="14:25" ht="19.5" customHeight="1">
      <c r="N85" s="797" t="s">
        <v>8</v>
      </c>
      <c r="O85" s="797" t="s">
        <v>8</v>
      </c>
      <c r="P85" s="7"/>
      <c r="Q85" s="797" t="s">
        <v>8</v>
      </c>
      <c r="R85" s="797" t="s">
        <v>8</v>
      </c>
      <c r="S85" s="797" t="s">
        <v>8</v>
      </c>
      <c r="T85" s="797" t="s">
        <v>8</v>
      </c>
      <c r="U85" s="797" t="s">
        <v>8</v>
      </c>
      <c r="W85" s="797" t="s">
        <v>8</v>
      </c>
      <c r="X85" s="797" t="s">
        <v>8</v>
      </c>
      <c r="Y85" s="797" t="s">
        <v>8</v>
      </c>
    </row>
    <row r="86" spans="14:25" ht="19.5" customHeight="1">
      <c r="N86" s="797" t="s">
        <v>365</v>
      </c>
      <c r="O86" s="797" t="s">
        <v>365</v>
      </c>
      <c r="P86" s="7"/>
      <c r="Q86" s="797" t="s">
        <v>365</v>
      </c>
      <c r="R86" s="797" t="s">
        <v>365</v>
      </c>
      <c r="S86" s="797" t="s">
        <v>365</v>
      </c>
      <c r="T86" s="797" t="s">
        <v>365</v>
      </c>
      <c r="U86" s="797" t="s">
        <v>365</v>
      </c>
      <c r="W86" s="797" t="s">
        <v>365</v>
      </c>
      <c r="X86" s="797" t="s">
        <v>365</v>
      </c>
      <c r="Y86" s="797" t="s">
        <v>365</v>
      </c>
    </row>
    <row r="87" spans="14:25" ht="19.5" customHeight="1">
      <c r="N87" s="7"/>
      <c r="O87" s="7"/>
      <c r="P87" s="7"/>
      <c r="Q87" s="7"/>
      <c r="R87" s="7"/>
      <c r="S87" s="7"/>
      <c r="T87" s="7"/>
      <c r="U87" s="7"/>
      <c r="W87" s="7"/>
      <c r="X87" s="7"/>
      <c r="Y87" s="7"/>
    </row>
    <row r="88" spans="14:25" ht="19.5" customHeight="1">
      <c r="N88" s="797" t="s">
        <v>8</v>
      </c>
      <c r="O88" s="797" t="s">
        <v>8</v>
      </c>
      <c r="P88" s="7"/>
      <c r="Q88" s="797" t="s">
        <v>8</v>
      </c>
      <c r="R88" s="797" t="s">
        <v>8</v>
      </c>
      <c r="S88" s="797" t="s">
        <v>8</v>
      </c>
      <c r="T88" s="797" t="s">
        <v>8</v>
      </c>
      <c r="U88" s="797" t="s">
        <v>8</v>
      </c>
      <c r="W88" s="797" t="s">
        <v>8</v>
      </c>
      <c r="X88" s="797" t="s">
        <v>8</v>
      </c>
      <c r="Y88" s="797" t="s">
        <v>8</v>
      </c>
    </row>
    <row r="89" spans="14:25" ht="19.5" customHeight="1">
      <c r="N89" s="797" t="s">
        <v>365</v>
      </c>
      <c r="O89" s="797" t="s">
        <v>365</v>
      </c>
      <c r="P89" s="7"/>
      <c r="Q89" s="797" t="s">
        <v>365</v>
      </c>
      <c r="R89" s="797" t="s">
        <v>365</v>
      </c>
      <c r="S89" s="797" t="s">
        <v>365</v>
      </c>
      <c r="T89" s="797" t="s">
        <v>365</v>
      </c>
      <c r="U89" s="797" t="s">
        <v>365</v>
      </c>
      <c r="W89" s="797" t="s">
        <v>365</v>
      </c>
      <c r="X89" s="797" t="s">
        <v>365</v>
      </c>
      <c r="Y89" s="797" t="s">
        <v>365</v>
      </c>
    </row>
    <row r="90" spans="14:25" ht="19.5" customHeight="1">
      <c r="N90" s="7"/>
      <c r="O90" s="7"/>
      <c r="P90" s="7"/>
      <c r="Q90" s="7"/>
      <c r="R90" s="7"/>
      <c r="S90" s="7"/>
      <c r="T90" s="7"/>
      <c r="U90" s="7"/>
      <c r="W90" s="7"/>
      <c r="X90" s="7"/>
      <c r="Y90" s="7"/>
    </row>
    <row r="91" spans="14:25" ht="19.5" customHeight="1">
      <c r="N91" s="797" t="s">
        <v>8</v>
      </c>
      <c r="O91" s="797" t="s">
        <v>8</v>
      </c>
      <c r="P91" s="7"/>
      <c r="Q91" s="797" t="s">
        <v>8</v>
      </c>
      <c r="R91" s="797" t="s">
        <v>8</v>
      </c>
      <c r="S91" s="797" t="s">
        <v>8</v>
      </c>
      <c r="T91" s="797" t="s">
        <v>8</v>
      </c>
      <c r="U91" s="797" t="s">
        <v>8</v>
      </c>
      <c r="W91" s="797" t="s">
        <v>8</v>
      </c>
      <c r="X91" s="797" t="s">
        <v>8</v>
      </c>
      <c r="Y91" s="797" t="s">
        <v>8</v>
      </c>
    </row>
    <row r="92" spans="14:25" ht="19.5" customHeight="1">
      <c r="N92" s="797" t="s">
        <v>365</v>
      </c>
      <c r="O92" s="797" t="s">
        <v>365</v>
      </c>
      <c r="P92" s="7"/>
      <c r="Q92" s="797" t="s">
        <v>365</v>
      </c>
      <c r="R92" s="797" t="s">
        <v>365</v>
      </c>
      <c r="S92" s="797" t="s">
        <v>365</v>
      </c>
      <c r="T92" s="797" t="s">
        <v>365</v>
      </c>
      <c r="U92" s="797" t="s">
        <v>365</v>
      </c>
      <c r="W92" s="797" t="s">
        <v>365</v>
      </c>
      <c r="X92" s="797" t="s">
        <v>365</v>
      </c>
      <c r="Y92" s="797" t="s">
        <v>365</v>
      </c>
    </row>
    <row r="93" spans="14:25" ht="19.5" customHeight="1">
      <c r="N93" s="7"/>
      <c r="O93" s="7"/>
      <c r="P93" s="7"/>
      <c r="Q93" s="7"/>
      <c r="R93" s="7"/>
      <c r="S93" s="7"/>
      <c r="T93" s="7"/>
      <c r="U93" s="7"/>
      <c r="W93" s="7"/>
      <c r="X93" s="7"/>
      <c r="Y93" s="7"/>
    </row>
    <row r="94" spans="14:25" ht="19.5" customHeight="1">
      <c r="N94" s="797" t="s">
        <v>8</v>
      </c>
      <c r="O94" s="797" t="s">
        <v>8</v>
      </c>
      <c r="P94" s="7"/>
      <c r="Q94" s="797" t="s">
        <v>8</v>
      </c>
      <c r="R94" s="797" t="s">
        <v>8</v>
      </c>
      <c r="S94" s="797" t="s">
        <v>8</v>
      </c>
      <c r="T94" s="797" t="s">
        <v>8</v>
      </c>
      <c r="U94" s="797" t="s">
        <v>8</v>
      </c>
      <c r="W94" s="797" t="s">
        <v>8</v>
      </c>
      <c r="X94" s="797" t="s">
        <v>8</v>
      </c>
      <c r="Y94" s="797" t="s">
        <v>8</v>
      </c>
    </row>
    <row r="95" spans="14:25" ht="19.5" customHeight="1">
      <c r="N95" s="797" t="s">
        <v>365</v>
      </c>
      <c r="O95" s="797" t="s">
        <v>365</v>
      </c>
      <c r="P95" s="7"/>
      <c r="Q95" s="797" t="s">
        <v>365</v>
      </c>
      <c r="R95" s="797" t="s">
        <v>365</v>
      </c>
      <c r="S95" s="797" t="s">
        <v>365</v>
      </c>
      <c r="T95" s="797" t="s">
        <v>365</v>
      </c>
      <c r="U95" s="797" t="s">
        <v>365</v>
      </c>
      <c r="W95" s="797" t="s">
        <v>365</v>
      </c>
      <c r="X95" s="797" t="s">
        <v>365</v>
      </c>
      <c r="Y95" s="797" t="s">
        <v>365</v>
      </c>
    </row>
  </sheetData>
  <sheetProtection/>
  <mergeCells count="13">
    <mergeCell ref="A12:K12"/>
    <mergeCell ref="I5:I6"/>
    <mergeCell ref="A5:A6"/>
    <mergeCell ref="B5:B6"/>
    <mergeCell ref="A11:K11"/>
    <mergeCell ref="C5:E5"/>
    <mergeCell ref="F5:H5"/>
    <mergeCell ref="N18:O18"/>
    <mergeCell ref="N31:O31"/>
    <mergeCell ref="A50:A51"/>
    <mergeCell ref="B50:B51"/>
    <mergeCell ref="C50:E50"/>
    <mergeCell ref="F50:K50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T54"/>
  <sheetViews>
    <sheetView view="pageBreakPreview" zoomScale="70" zoomScaleSheetLayoutView="70" zoomScalePageLayoutView="0" workbookViewId="0" topLeftCell="A1">
      <pane xSplit="2" ySplit="6" topLeftCell="C17" activePane="bottomRight" state="frozen"/>
      <selection pane="topLeft" activeCell="H55" sqref="H55"/>
      <selection pane="topRight" activeCell="H55" sqref="H55"/>
      <selection pane="bottomLeft" activeCell="H55" sqref="H55"/>
      <selection pane="bottomRight" activeCell="C6" sqref="C6"/>
    </sheetView>
  </sheetViews>
  <sheetFormatPr defaultColWidth="9.00390625" defaultRowHeight="13.5"/>
  <cols>
    <col min="1" max="1" width="4.625" style="638" customWidth="1"/>
    <col min="2" max="2" width="18.25390625" style="638" customWidth="1"/>
    <col min="3" max="3" width="15.125" style="694" bestFit="1" customWidth="1"/>
    <col min="4" max="18" width="11.875" style="694" customWidth="1"/>
    <col min="19" max="19" width="5.50390625" style="695" bestFit="1" customWidth="1"/>
    <col min="20" max="16384" width="9.00390625" style="638" customWidth="1"/>
  </cols>
  <sheetData>
    <row r="1" spans="1:20" ht="14.25">
      <c r="A1" s="634" t="s">
        <v>300</v>
      </c>
      <c r="B1" s="696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6"/>
      <c r="T1" s="637"/>
    </row>
    <row r="2" spans="1:20" ht="12.75" thickBot="1">
      <c r="A2" s="637"/>
      <c r="B2" s="637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579"/>
      <c r="Q2" s="579"/>
      <c r="R2" s="579" t="s">
        <v>301</v>
      </c>
      <c r="S2" s="639"/>
      <c r="T2" s="637"/>
    </row>
    <row r="3" spans="1:20" s="645" customFormat="1" ht="12">
      <c r="A3" s="1092" t="s">
        <v>60</v>
      </c>
      <c r="B3" s="1100"/>
      <c r="C3" s="640" t="s">
        <v>295</v>
      </c>
      <c r="D3" s="641" t="s">
        <v>263</v>
      </c>
      <c r="E3" s="641" t="s">
        <v>265</v>
      </c>
      <c r="F3" s="641" t="s">
        <v>266</v>
      </c>
      <c r="G3" s="641" t="s">
        <v>267</v>
      </c>
      <c r="H3" s="641" t="s">
        <v>268</v>
      </c>
      <c r="I3" s="641" t="s">
        <v>269</v>
      </c>
      <c r="J3" s="641" t="s">
        <v>270</v>
      </c>
      <c r="K3" s="641" t="s">
        <v>271</v>
      </c>
      <c r="L3" s="641" t="s">
        <v>272</v>
      </c>
      <c r="M3" s="641" t="s">
        <v>273</v>
      </c>
      <c r="N3" s="641" t="s">
        <v>274</v>
      </c>
      <c r="O3" s="641" t="s">
        <v>275</v>
      </c>
      <c r="P3" s="641" t="s">
        <v>276</v>
      </c>
      <c r="Q3" s="641" t="s">
        <v>277</v>
      </c>
      <c r="R3" s="642" t="s">
        <v>292</v>
      </c>
      <c r="S3" s="697"/>
      <c r="T3" s="644"/>
    </row>
    <row r="4" spans="1:20" s="651" customFormat="1" ht="19.5" customHeight="1">
      <c r="A4" s="1101" t="s">
        <v>296</v>
      </c>
      <c r="B4" s="1102"/>
      <c r="C4" s="646">
        <v>39152384</v>
      </c>
      <c r="D4" s="698">
        <v>0</v>
      </c>
      <c r="E4" s="647">
        <v>7275</v>
      </c>
      <c r="F4" s="647">
        <v>166682</v>
      </c>
      <c r="G4" s="647">
        <v>417338</v>
      </c>
      <c r="H4" s="647">
        <v>1067061</v>
      </c>
      <c r="I4" s="647">
        <v>2635920</v>
      </c>
      <c r="J4" s="647">
        <v>4873565</v>
      </c>
      <c r="K4" s="647">
        <v>7488214</v>
      </c>
      <c r="L4" s="647">
        <v>7761952</v>
      </c>
      <c r="M4" s="647">
        <v>6524976</v>
      </c>
      <c r="N4" s="647">
        <v>2429488</v>
      </c>
      <c r="O4" s="647">
        <v>1783652</v>
      </c>
      <c r="P4" s="647">
        <v>1275595</v>
      </c>
      <c r="Q4" s="647">
        <v>820511</v>
      </c>
      <c r="R4" s="648">
        <v>1900155</v>
      </c>
      <c r="S4" s="649" t="s">
        <v>297</v>
      </c>
      <c r="T4" s="650"/>
    </row>
    <row r="5" spans="1:20" s="651" customFormat="1" ht="19.5" customHeight="1">
      <c r="A5" s="1094" t="s">
        <v>298</v>
      </c>
      <c r="B5" s="1095"/>
      <c r="C5" s="646">
        <v>43260700</v>
      </c>
      <c r="D5" s="698">
        <v>0</v>
      </c>
      <c r="E5" s="647">
        <v>8174</v>
      </c>
      <c r="F5" s="647">
        <v>127669</v>
      </c>
      <c r="G5" s="647">
        <v>315087</v>
      </c>
      <c r="H5" s="647">
        <v>652297</v>
      </c>
      <c r="I5" s="647">
        <v>1456705</v>
      </c>
      <c r="J5" s="647">
        <v>3215583</v>
      </c>
      <c r="K5" s="647">
        <v>5589347</v>
      </c>
      <c r="L5" s="647">
        <v>8320933</v>
      </c>
      <c r="M5" s="647">
        <v>8463743</v>
      </c>
      <c r="N5" s="647">
        <v>6767953</v>
      </c>
      <c r="O5" s="647">
        <v>2518975</v>
      </c>
      <c r="P5" s="647">
        <v>1837291</v>
      </c>
      <c r="Q5" s="647">
        <v>1292284</v>
      </c>
      <c r="R5" s="648">
        <v>2694659</v>
      </c>
      <c r="S5" s="649" t="s">
        <v>299</v>
      </c>
      <c r="T5" s="650"/>
    </row>
    <row r="6" spans="1:20" s="704" customFormat="1" ht="19.5" customHeight="1" thickBot="1">
      <c r="A6" s="1096" t="s">
        <v>389</v>
      </c>
      <c r="B6" s="1097"/>
      <c r="C6" s="699">
        <f aca="true" t="shared" si="0" ref="C6:R6">+C7+C14+C22+C40</f>
        <v>45996670</v>
      </c>
      <c r="D6" s="700">
        <f t="shared" si="0"/>
        <v>0</v>
      </c>
      <c r="E6" s="700">
        <f t="shared" si="0"/>
        <v>7104</v>
      </c>
      <c r="F6" s="700">
        <f t="shared" si="0"/>
        <v>90005</v>
      </c>
      <c r="G6" s="700">
        <f t="shared" si="0"/>
        <v>252307</v>
      </c>
      <c r="H6" s="700">
        <f t="shared" si="0"/>
        <v>501455</v>
      </c>
      <c r="I6" s="700">
        <f t="shared" si="0"/>
        <v>960914</v>
      </c>
      <c r="J6" s="700">
        <f t="shared" si="0"/>
        <v>1930222</v>
      </c>
      <c r="K6" s="700">
        <f t="shared" si="0"/>
        <v>3881298</v>
      </c>
      <c r="L6" s="700">
        <f t="shared" si="0"/>
        <v>6545629</v>
      </c>
      <c r="M6" s="700">
        <f t="shared" si="0"/>
        <v>8979542</v>
      </c>
      <c r="N6" s="700">
        <f t="shared" si="0"/>
        <v>8562556</v>
      </c>
      <c r="O6" s="700">
        <f t="shared" si="0"/>
        <v>6215221</v>
      </c>
      <c r="P6" s="700">
        <f t="shared" si="0"/>
        <v>2473067</v>
      </c>
      <c r="Q6" s="700">
        <f t="shared" si="0"/>
        <v>1818909</v>
      </c>
      <c r="R6" s="701">
        <f t="shared" si="0"/>
        <v>3778441</v>
      </c>
      <c r="S6" s="702" t="s">
        <v>390</v>
      </c>
      <c r="T6" s="703"/>
    </row>
    <row r="7" spans="1:20" s="710" customFormat="1" ht="25.5" customHeight="1">
      <c r="A7" s="1098" t="s">
        <v>134</v>
      </c>
      <c r="B7" s="1099"/>
      <c r="C7" s="705">
        <f aca="true" t="shared" si="1" ref="C7:R7">C8</f>
        <v>5890395</v>
      </c>
      <c r="D7" s="706">
        <f t="shared" si="1"/>
        <v>0</v>
      </c>
      <c r="E7" s="705">
        <f t="shared" si="1"/>
        <v>1247</v>
      </c>
      <c r="F7" s="705">
        <f t="shared" si="1"/>
        <v>15726</v>
      </c>
      <c r="G7" s="705">
        <f t="shared" si="1"/>
        <v>51603</v>
      </c>
      <c r="H7" s="705">
        <f t="shared" si="1"/>
        <v>91231</v>
      </c>
      <c r="I7" s="705">
        <f t="shared" si="1"/>
        <v>188272</v>
      </c>
      <c r="J7" s="705">
        <f t="shared" si="1"/>
        <v>388933</v>
      </c>
      <c r="K7" s="705">
        <f t="shared" si="1"/>
        <v>689291</v>
      </c>
      <c r="L7" s="705">
        <f t="shared" si="1"/>
        <v>1199314</v>
      </c>
      <c r="M7" s="705">
        <f t="shared" si="1"/>
        <v>1389403</v>
      </c>
      <c r="N7" s="705">
        <f t="shared" si="1"/>
        <v>1033137</v>
      </c>
      <c r="O7" s="705">
        <f t="shared" si="1"/>
        <v>279420</v>
      </c>
      <c r="P7" s="705">
        <f t="shared" si="1"/>
        <v>191445</v>
      </c>
      <c r="Q7" s="705">
        <f t="shared" si="1"/>
        <v>151562</v>
      </c>
      <c r="R7" s="707">
        <f t="shared" si="1"/>
        <v>219811</v>
      </c>
      <c r="S7" s="708"/>
      <c r="T7" s="709"/>
    </row>
    <row r="8" spans="1:20" s="704" customFormat="1" ht="19.5" customHeight="1">
      <c r="A8" s="1086" t="s">
        <v>381</v>
      </c>
      <c r="B8" s="1087"/>
      <c r="C8" s="711">
        <f aca="true" t="shared" si="2" ref="C8:R8">SUM(C9:C13)</f>
        <v>5890395</v>
      </c>
      <c r="D8" s="700">
        <f t="shared" si="2"/>
        <v>0</v>
      </c>
      <c r="E8" s="700">
        <f t="shared" si="2"/>
        <v>1247</v>
      </c>
      <c r="F8" s="700">
        <f t="shared" si="2"/>
        <v>15726</v>
      </c>
      <c r="G8" s="700">
        <f t="shared" si="2"/>
        <v>51603</v>
      </c>
      <c r="H8" s="700">
        <f t="shared" si="2"/>
        <v>91231</v>
      </c>
      <c r="I8" s="700">
        <f t="shared" si="2"/>
        <v>188272</v>
      </c>
      <c r="J8" s="700">
        <f t="shared" si="2"/>
        <v>388933</v>
      </c>
      <c r="K8" s="700">
        <f t="shared" si="2"/>
        <v>689291</v>
      </c>
      <c r="L8" s="700">
        <f t="shared" si="2"/>
        <v>1199314</v>
      </c>
      <c r="M8" s="700">
        <f t="shared" si="2"/>
        <v>1389403</v>
      </c>
      <c r="N8" s="700">
        <f t="shared" si="2"/>
        <v>1033137</v>
      </c>
      <c r="O8" s="700">
        <f t="shared" si="2"/>
        <v>279420</v>
      </c>
      <c r="P8" s="700">
        <f t="shared" si="2"/>
        <v>191445</v>
      </c>
      <c r="Q8" s="700">
        <f t="shared" si="2"/>
        <v>151562</v>
      </c>
      <c r="R8" s="701">
        <f t="shared" si="2"/>
        <v>219811</v>
      </c>
      <c r="S8" s="712"/>
      <c r="T8" s="703"/>
    </row>
    <row r="9" spans="1:20" s="651" customFormat="1" ht="19.5" customHeight="1">
      <c r="A9" s="813">
        <v>1</v>
      </c>
      <c r="B9" s="667" t="s">
        <v>102</v>
      </c>
      <c r="C9" s="647">
        <f>SUM(D9:R9)</f>
        <v>1656821</v>
      </c>
      <c r="D9" s="686">
        <v>0</v>
      </c>
      <c r="E9" s="668">
        <v>386</v>
      </c>
      <c r="F9" s="668">
        <v>3219</v>
      </c>
      <c r="G9" s="668">
        <v>16279</v>
      </c>
      <c r="H9" s="668">
        <v>27801</v>
      </c>
      <c r="I9" s="668">
        <v>64319</v>
      </c>
      <c r="J9" s="668">
        <v>129428</v>
      </c>
      <c r="K9" s="668">
        <v>200106</v>
      </c>
      <c r="L9" s="668">
        <v>294635</v>
      </c>
      <c r="M9" s="668">
        <v>333265</v>
      </c>
      <c r="N9" s="668">
        <v>329991</v>
      </c>
      <c r="O9" s="668">
        <v>91234</v>
      </c>
      <c r="P9" s="668">
        <v>60142</v>
      </c>
      <c r="Q9" s="668">
        <v>46783</v>
      </c>
      <c r="R9" s="680">
        <v>59233</v>
      </c>
      <c r="S9" s="666">
        <v>1</v>
      </c>
      <c r="T9" s="650"/>
    </row>
    <row r="10" spans="1:20" s="651" customFormat="1" ht="19.5" customHeight="1">
      <c r="A10" s="813">
        <v>2</v>
      </c>
      <c r="B10" s="667" t="s">
        <v>103</v>
      </c>
      <c r="C10" s="647">
        <f>SUM(D10:R10)</f>
        <v>1472424</v>
      </c>
      <c r="D10" s="686">
        <v>0</v>
      </c>
      <c r="E10" s="668">
        <v>60</v>
      </c>
      <c r="F10" s="668">
        <v>2625</v>
      </c>
      <c r="G10" s="668">
        <v>16224</v>
      </c>
      <c r="H10" s="668">
        <v>35664</v>
      </c>
      <c r="I10" s="668">
        <v>72091</v>
      </c>
      <c r="J10" s="668">
        <v>111655</v>
      </c>
      <c r="K10" s="668">
        <v>168457</v>
      </c>
      <c r="L10" s="668">
        <v>401126</v>
      </c>
      <c r="M10" s="668">
        <v>351300</v>
      </c>
      <c r="N10" s="668">
        <v>195742</v>
      </c>
      <c r="O10" s="668">
        <v>37407</v>
      </c>
      <c r="P10" s="668">
        <v>22407</v>
      </c>
      <c r="Q10" s="668">
        <v>26994</v>
      </c>
      <c r="R10" s="680">
        <v>30672</v>
      </c>
      <c r="S10" s="666">
        <v>2</v>
      </c>
      <c r="T10" s="650"/>
    </row>
    <row r="11" spans="1:20" s="651" customFormat="1" ht="19.5" customHeight="1">
      <c r="A11" s="813">
        <v>3</v>
      </c>
      <c r="B11" s="667" t="s">
        <v>104</v>
      </c>
      <c r="C11" s="647">
        <f>SUM(D11:R11)</f>
        <v>729977</v>
      </c>
      <c r="D11" s="686">
        <v>0</v>
      </c>
      <c r="E11" s="668">
        <v>210</v>
      </c>
      <c r="F11" s="668">
        <v>2404</v>
      </c>
      <c r="G11" s="668">
        <v>5951</v>
      </c>
      <c r="H11" s="668">
        <v>10297</v>
      </c>
      <c r="I11" s="668">
        <v>26825</v>
      </c>
      <c r="J11" s="668">
        <v>59720</v>
      </c>
      <c r="K11" s="668">
        <v>92987</v>
      </c>
      <c r="L11" s="668">
        <v>99901</v>
      </c>
      <c r="M11" s="668">
        <v>208347</v>
      </c>
      <c r="N11" s="668">
        <v>117164</v>
      </c>
      <c r="O11" s="668">
        <v>23227</v>
      </c>
      <c r="P11" s="668">
        <v>27246</v>
      </c>
      <c r="Q11" s="668">
        <v>22955</v>
      </c>
      <c r="R11" s="680">
        <v>32743</v>
      </c>
      <c r="S11" s="666">
        <v>3</v>
      </c>
      <c r="T11" s="650"/>
    </row>
    <row r="12" spans="1:20" s="651" customFormat="1" ht="19.5" customHeight="1">
      <c r="A12" s="813">
        <v>4</v>
      </c>
      <c r="B12" s="667" t="s">
        <v>105</v>
      </c>
      <c r="C12" s="647">
        <f>SUM(D12:R12)</f>
        <v>321606</v>
      </c>
      <c r="D12" s="686">
        <v>0</v>
      </c>
      <c r="E12" s="668">
        <v>453</v>
      </c>
      <c r="F12" s="668">
        <v>1111</v>
      </c>
      <c r="G12" s="668">
        <v>1602</v>
      </c>
      <c r="H12" s="668">
        <v>4491</v>
      </c>
      <c r="I12" s="668">
        <v>5183</v>
      </c>
      <c r="J12" s="668">
        <v>18630</v>
      </c>
      <c r="K12" s="668">
        <v>21492</v>
      </c>
      <c r="L12" s="668">
        <v>58883</v>
      </c>
      <c r="M12" s="668">
        <v>76343</v>
      </c>
      <c r="N12" s="668">
        <v>85651</v>
      </c>
      <c r="O12" s="668">
        <v>18794</v>
      </c>
      <c r="P12" s="668">
        <v>9143</v>
      </c>
      <c r="Q12" s="668">
        <v>7942</v>
      </c>
      <c r="R12" s="680">
        <v>11888</v>
      </c>
      <c r="S12" s="666">
        <v>4</v>
      </c>
      <c r="T12" s="650"/>
    </row>
    <row r="13" spans="1:20" s="651" customFormat="1" ht="19.5" customHeight="1" thickBot="1">
      <c r="A13" s="813">
        <v>5</v>
      </c>
      <c r="B13" s="667" t="s">
        <v>180</v>
      </c>
      <c r="C13" s="647">
        <f>SUM(D13:R13)</f>
        <v>1709567</v>
      </c>
      <c r="D13" s="686">
        <v>0</v>
      </c>
      <c r="E13" s="668">
        <v>138</v>
      </c>
      <c r="F13" s="668">
        <v>6367</v>
      </c>
      <c r="G13" s="668">
        <v>11547</v>
      </c>
      <c r="H13" s="668">
        <v>12978</v>
      </c>
      <c r="I13" s="668">
        <v>19854</v>
      </c>
      <c r="J13" s="668">
        <v>69500</v>
      </c>
      <c r="K13" s="668">
        <v>206249</v>
      </c>
      <c r="L13" s="668">
        <v>344769</v>
      </c>
      <c r="M13" s="668">
        <v>420148</v>
      </c>
      <c r="N13" s="668">
        <v>304589</v>
      </c>
      <c r="O13" s="668">
        <v>108758</v>
      </c>
      <c r="P13" s="668">
        <v>72507</v>
      </c>
      <c r="Q13" s="668">
        <v>46888</v>
      </c>
      <c r="R13" s="680">
        <v>85275</v>
      </c>
      <c r="S13" s="666">
        <v>5</v>
      </c>
      <c r="T13" s="650"/>
    </row>
    <row r="14" spans="1:20" s="710" customFormat="1" ht="25.5" customHeight="1">
      <c r="A14" s="1090" t="s">
        <v>85</v>
      </c>
      <c r="B14" s="1091"/>
      <c r="C14" s="705">
        <f aca="true" t="shared" si="3" ref="C14:R14">C15</f>
        <v>6836043</v>
      </c>
      <c r="D14" s="706">
        <f t="shared" si="3"/>
        <v>0</v>
      </c>
      <c r="E14" s="705">
        <f t="shared" si="3"/>
        <v>1226</v>
      </c>
      <c r="F14" s="705">
        <f t="shared" si="3"/>
        <v>16261</v>
      </c>
      <c r="G14" s="705">
        <f t="shared" si="3"/>
        <v>47441</v>
      </c>
      <c r="H14" s="705">
        <f t="shared" si="3"/>
        <v>122251</v>
      </c>
      <c r="I14" s="705">
        <f t="shared" si="3"/>
        <v>153730</v>
      </c>
      <c r="J14" s="705">
        <f t="shared" si="3"/>
        <v>308401</v>
      </c>
      <c r="K14" s="705">
        <f t="shared" si="3"/>
        <v>647845</v>
      </c>
      <c r="L14" s="705">
        <f t="shared" si="3"/>
        <v>1057952</v>
      </c>
      <c r="M14" s="705">
        <f t="shared" si="3"/>
        <v>1351792</v>
      </c>
      <c r="N14" s="705">
        <f t="shared" si="3"/>
        <v>1397970</v>
      </c>
      <c r="O14" s="705">
        <f t="shared" si="3"/>
        <v>764797</v>
      </c>
      <c r="P14" s="705">
        <f t="shared" si="3"/>
        <v>274613</v>
      </c>
      <c r="Q14" s="705">
        <f t="shared" si="3"/>
        <v>184649</v>
      </c>
      <c r="R14" s="707">
        <f t="shared" si="3"/>
        <v>507115</v>
      </c>
      <c r="S14" s="713"/>
      <c r="T14" s="709"/>
    </row>
    <row r="15" spans="1:20" s="704" customFormat="1" ht="19.5" customHeight="1">
      <c r="A15" s="1086" t="s">
        <v>184</v>
      </c>
      <c r="B15" s="1087"/>
      <c r="C15" s="711">
        <f aca="true" t="shared" si="4" ref="C15:R15">SUM(C16:C21)</f>
        <v>6836043</v>
      </c>
      <c r="D15" s="711">
        <f t="shared" si="4"/>
        <v>0</v>
      </c>
      <c r="E15" s="711">
        <f t="shared" si="4"/>
        <v>1226</v>
      </c>
      <c r="F15" s="711">
        <f t="shared" si="4"/>
        <v>16261</v>
      </c>
      <c r="G15" s="711">
        <f t="shared" si="4"/>
        <v>47441</v>
      </c>
      <c r="H15" s="711">
        <f t="shared" si="4"/>
        <v>122251</v>
      </c>
      <c r="I15" s="711">
        <f t="shared" si="4"/>
        <v>153730</v>
      </c>
      <c r="J15" s="711">
        <f t="shared" si="4"/>
        <v>308401</v>
      </c>
      <c r="K15" s="711">
        <f t="shared" si="4"/>
        <v>647845</v>
      </c>
      <c r="L15" s="711">
        <f t="shared" si="4"/>
        <v>1057952</v>
      </c>
      <c r="M15" s="711">
        <f t="shared" si="4"/>
        <v>1351792</v>
      </c>
      <c r="N15" s="711">
        <f t="shared" si="4"/>
        <v>1397970</v>
      </c>
      <c r="O15" s="711">
        <f t="shared" si="4"/>
        <v>764797</v>
      </c>
      <c r="P15" s="711">
        <f t="shared" si="4"/>
        <v>274613</v>
      </c>
      <c r="Q15" s="711">
        <f t="shared" si="4"/>
        <v>184649</v>
      </c>
      <c r="R15" s="701">
        <f t="shared" si="4"/>
        <v>507115</v>
      </c>
      <c r="S15" s="714"/>
      <c r="T15" s="703"/>
    </row>
    <row r="16" spans="1:20" s="651" customFormat="1" ht="19.5" customHeight="1">
      <c r="A16" s="813">
        <v>6</v>
      </c>
      <c r="B16" s="667" t="s">
        <v>106</v>
      </c>
      <c r="C16" s="647">
        <f aca="true" t="shared" si="5" ref="C16:C21">SUM(D16:R16)</f>
        <v>1536056</v>
      </c>
      <c r="D16" s="686">
        <v>0</v>
      </c>
      <c r="E16" s="668">
        <f>152+1</f>
        <v>153</v>
      </c>
      <c r="F16" s="668">
        <f>5099+29</f>
        <v>5128</v>
      </c>
      <c r="G16" s="668">
        <f>14046+172</f>
        <v>14218</v>
      </c>
      <c r="H16" s="668">
        <f>15138+208</f>
        <v>15346</v>
      </c>
      <c r="I16" s="668">
        <f>30489+1568</f>
        <v>32057</v>
      </c>
      <c r="J16" s="668">
        <f>99361+6885</f>
        <v>106246</v>
      </c>
      <c r="K16" s="668">
        <f>183475+23594</f>
        <v>207069</v>
      </c>
      <c r="L16" s="668">
        <f>199097+46163</f>
        <v>245260</v>
      </c>
      <c r="M16" s="668">
        <f>218753+58239</f>
        <v>276992</v>
      </c>
      <c r="N16" s="668">
        <f>229353+42809</f>
        <v>272162</v>
      </c>
      <c r="O16" s="668">
        <f>155182+20129</f>
        <v>175311</v>
      </c>
      <c r="P16" s="668">
        <f>40636+9505</f>
        <v>50141</v>
      </c>
      <c r="Q16" s="668">
        <f>36765+4162</f>
        <v>40927</v>
      </c>
      <c r="R16" s="680">
        <f>84672+10374</f>
        <v>95046</v>
      </c>
      <c r="S16" s="666">
        <v>6</v>
      </c>
      <c r="T16" s="650"/>
    </row>
    <row r="17" spans="1:20" s="651" customFormat="1" ht="19.5" customHeight="1">
      <c r="A17" s="813">
        <v>7</v>
      </c>
      <c r="B17" s="667" t="s">
        <v>107</v>
      </c>
      <c r="C17" s="647">
        <f t="shared" si="5"/>
        <v>874336</v>
      </c>
      <c r="D17" s="686">
        <v>0</v>
      </c>
      <c r="E17" s="668">
        <v>7</v>
      </c>
      <c r="F17" s="668">
        <v>480</v>
      </c>
      <c r="G17" s="668">
        <v>7896</v>
      </c>
      <c r="H17" s="668">
        <v>59312</v>
      </c>
      <c r="I17" s="668">
        <v>22371</v>
      </c>
      <c r="J17" s="668">
        <v>23396</v>
      </c>
      <c r="K17" s="668">
        <v>85424</v>
      </c>
      <c r="L17" s="668">
        <v>124150</v>
      </c>
      <c r="M17" s="668">
        <v>189138</v>
      </c>
      <c r="N17" s="668">
        <v>198945</v>
      </c>
      <c r="O17" s="668">
        <v>98167</v>
      </c>
      <c r="P17" s="668">
        <v>30549</v>
      </c>
      <c r="Q17" s="668">
        <v>12571</v>
      </c>
      <c r="R17" s="680">
        <v>21930</v>
      </c>
      <c r="S17" s="666">
        <v>7</v>
      </c>
      <c r="T17" s="650"/>
    </row>
    <row r="18" spans="1:20" s="651" customFormat="1" ht="19.5" customHeight="1">
      <c r="A18" s="813">
        <v>8</v>
      </c>
      <c r="B18" s="667" t="s">
        <v>108</v>
      </c>
      <c r="C18" s="647">
        <f t="shared" si="5"/>
        <v>1073893</v>
      </c>
      <c r="D18" s="686">
        <v>0</v>
      </c>
      <c r="E18" s="668">
        <v>22</v>
      </c>
      <c r="F18" s="668">
        <v>1239</v>
      </c>
      <c r="G18" s="668">
        <v>2415</v>
      </c>
      <c r="H18" s="668">
        <v>10396</v>
      </c>
      <c r="I18" s="668">
        <v>41426</v>
      </c>
      <c r="J18" s="668">
        <v>53027</v>
      </c>
      <c r="K18" s="668">
        <v>69298</v>
      </c>
      <c r="L18" s="668">
        <v>92600</v>
      </c>
      <c r="M18" s="668">
        <v>169139</v>
      </c>
      <c r="N18" s="668">
        <v>269511</v>
      </c>
      <c r="O18" s="668">
        <v>135350</v>
      </c>
      <c r="P18" s="668">
        <v>81332</v>
      </c>
      <c r="Q18" s="668">
        <v>20967</v>
      </c>
      <c r="R18" s="680">
        <v>127171</v>
      </c>
      <c r="S18" s="666">
        <v>8</v>
      </c>
      <c r="T18" s="650"/>
    </row>
    <row r="19" spans="1:20" s="651" customFormat="1" ht="19.5" customHeight="1">
      <c r="A19" s="813">
        <v>9</v>
      </c>
      <c r="B19" s="667" t="s">
        <v>109</v>
      </c>
      <c r="C19" s="647">
        <f t="shared" si="5"/>
        <v>20330</v>
      </c>
      <c r="D19" s="686">
        <v>0</v>
      </c>
      <c r="E19" s="668">
        <v>0</v>
      </c>
      <c r="F19" s="668">
        <v>0</v>
      </c>
      <c r="G19" s="668">
        <v>8</v>
      </c>
      <c r="H19" s="668">
        <v>28</v>
      </c>
      <c r="I19" s="668">
        <v>520</v>
      </c>
      <c r="J19" s="668">
        <v>136</v>
      </c>
      <c r="K19" s="668">
        <v>859</v>
      </c>
      <c r="L19" s="668">
        <v>974</v>
      </c>
      <c r="M19" s="668">
        <v>4487</v>
      </c>
      <c r="N19" s="668">
        <v>6016</v>
      </c>
      <c r="O19" s="668">
        <v>3992</v>
      </c>
      <c r="P19" s="668">
        <v>1454</v>
      </c>
      <c r="Q19" s="668">
        <v>1185</v>
      </c>
      <c r="R19" s="680">
        <v>671</v>
      </c>
      <c r="S19" s="666">
        <v>9</v>
      </c>
      <c r="T19" s="650"/>
    </row>
    <row r="20" spans="1:20" s="651" customFormat="1" ht="19.5" customHeight="1">
      <c r="A20" s="813">
        <v>10</v>
      </c>
      <c r="B20" s="667" t="s">
        <v>110</v>
      </c>
      <c r="C20" s="647">
        <f t="shared" si="5"/>
        <v>788783</v>
      </c>
      <c r="D20" s="686">
        <v>0</v>
      </c>
      <c r="E20" s="668">
        <v>468</v>
      </c>
      <c r="F20" s="668">
        <v>5533</v>
      </c>
      <c r="G20" s="668">
        <v>17571</v>
      </c>
      <c r="H20" s="668">
        <v>26533</v>
      </c>
      <c r="I20" s="668">
        <v>25535</v>
      </c>
      <c r="J20" s="668">
        <v>51608</v>
      </c>
      <c r="K20" s="668">
        <v>71357</v>
      </c>
      <c r="L20" s="668">
        <v>199999</v>
      </c>
      <c r="M20" s="668">
        <v>164917</v>
      </c>
      <c r="N20" s="668">
        <v>110600</v>
      </c>
      <c r="O20" s="668">
        <v>49174</v>
      </c>
      <c r="P20" s="668">
        <v>15151</v>
      </c>
      <c r="Q20" s="668">
        <v>14444</v>
      </c>
      <c r="R20" s="680">
        <v>35893</v>
      </c>
      <c r="S20" s="666">
        <v>10</v>
      </c>
      <c r="T20" s="650"/>
    </row>
    <row r="21" spans="1:20" s="651" customFormat="1" ht="19.5" customHeight="1" thickBot="1">
      <c r="A21" s="814">
        <v>11</v>
      </c>
      <c r="B21" s="673" t="s">
        <v>293</v>
      </c>
      <c r="C21" s="647">
        <f t="shared" si="5"/>
        <v>2542645</v>
      </c>
      <c r="D21" s="686">
        <v>0</v>
      </c>
      <c r="E21" s="668">
        <v>576</v>
      </c>
      <c r="F21" s="668">
        <v>3881</v>
      </c>
      <c r="G21" s="668">
        <v>5333</v>
      </c>
      <c r="H21" s="668">
        <v>10636</v>
      </c>
      <c r="I21" s="668">
        <v>31821</v>
      </c>
      <c r="J21" s="668">
        <v>73988</v>
      </c>
      <c r="K21" s="668">
        <v>213838</v>
      </c>
      <c r="L21" s="668">
        <v>394969</v>
      </c>
      <c r="M21" s="668">
        <v>547119</v>
      </c>
      <c r="N21" s="668">
        <v>540736</v>
      </c>
      <c r="O21" s="668">
        <v>302803</v>
      </c>
      <c r="P21" s="668">
        <v>95986</v>
      </c>
      <c r="Q21" s="668">
        <v>94555</v>
      </c>
      <c r="R21" s="680">
        <v>226404</v>
      </c>
      <c r="S21" s="715">
        <v>11</v>
      </c>
      <c r="T21" s="650"/>
    </row>
    <row r="22" spans="1:20" s="710" customFormat="1" ht="25.5" customHeight="1">
      <c r="A22" s="1088" t="s">
        <v>135</v>
      </c>
      <c r="B22" s="1089"/>
      <c r="C22" s="705">
        <f aca="true" t="shared" si="6" ref="C22:R22">C23+C30</f>
        <v>11378056</v>
      </c>
      <c r="D22" s="706">
        <f t="shared" si="6"/>
        <v>0</v>
      </c>
      <c r="E22" s="706">
        <f t="shared" si="6"/>
        <v>2581</v>
      </c>
      <c r="F22" s="706">
        <f t="shared" si="6"/>
        <v>30243</v>
      </c>
      <c r="G22" s="706">
        <f t="shared" si="6"/>
        <v>74692</v>
      </c>
      <c r="H22" s="706">
        <f t="shared" si="6"/>
        <v>146092</v>
      </c>
      <c r="I22" s="706">
        <f t="shared" si="6"/>
        <v>272537</v>
      </c>
      <c r="J22" s="706">
        <f t="shared" si="6"/>
        <v>612139</v>
      </c>
      <c r="K22" s="706">
        <f t="shared" si="6"/>
        <v>1170182</v>
      </c>
      <c r="L22" s="706">
        <f t="shared" si="6"/>
        <v>1756676</v>
      </c>
      <c r="M22" s="706">
        <f t="shared" si="6"/>
        <v>2102214</v>
      </c>
      <c r="N22" s="706">
        <f t="shared" si="6"/>
        <v>1922834</v>
      </c>
      <c r="O22" s="706">
        <f t="shared" si="6"/>
        <v>1248870</v>
      </c>
      <c r="P22" s="706">
        <f t="shared" si="6"/>
        <v>605249</v>
      </c>
      <c r="Q22" s="706">
        <f t="shared" si="6"/>
        <v>466924</v>
      </c>
      <c r="R22" s="707">
        <f t="shared" si="6"/>
        <v>966823</v>
      </c>
      <c r="S22" s="708"/>
      <c r="T22" s="709"/>
    </row>
    <row r="23" spans="1:20" s="704" customFormat="1" ht="19.5" customHeight="1">
      <c r="A23" s="1086" t="s">
        <v>372</v>
      </c>
      <c r="B23" s="1087"/>
      <c r="C23" s="711">
        <f aca="true" t="shared" si="7" ref="C23:R23">SUM(C24:C29)</f>
        <v>4497001</v>
      </c>
      <c r="D23" s="700">
        <f t="shared" si="7"/>
        <v>0</v>
      </c>
      <c r="E23" s="700">
        <f t="shared" si="7"/>
        <v>1608</v>
      </c>
      <c r="F23" s="700">
        <f t="shared" si="7"/>
        <v>14574</v>
      </c>
      <c r="G23" s="700">
        <f t="shared" si="7"/>
        <v>30117</v>
      </c>
      <c r="H23" s="700">
        <f t="shared" si="7"/>
        <v>50336</v>
      </c>
      <c r="I23" s="700">
        <f t="shared" si="7"/>
        <v>98893</v>
      </c>
      <c r="J23" s="700">
        <f t="shared" si="7"/>
        <v>197974</v>
      </c>
      <c r="K23" s="700">
        <f t="shared" si="7"/>
        <v>330985</v>
      </c>
      <c r="L23" s="700">
        <f t="shared" si="7"/>
        <v>548040</v>
      </c>
      <c r="M23" s="700">
        <f t="shared" si="7"/>
        <v>891271</v>
      </c>
      <c r="N23" s="700">
        <f t="shared" si="7"/>
        <v>838921</v>
      </c>
      <c r="O23" s="700">
        <f t="shared" si="7"/>
        <v>641096</v>
      </c>
      <c r="P23" s="700">
        <f t="shared" si="7"/>
        <v>283719</v>
      </c>
      <c r="Q23" s="700">
        <f t="shared" si="7"/>
        <v>182407</v>
      </c>
      <c r="R23" s="701">
        <f t="shared" si="7"/>
        <v>387060</v>
      </c>
      <c r="S23" s="712" t="s">
        <v>91</v>
      </c>
      <c r="T23" s="703"/>
    </row>
    <row r="24" spans="1:20" s="651" customFormat="1" ht="19.5" customHeight="1">
      <c r="A24" s="813">
        <v>12</v>
      </c>
      <c r="B24" s="667" t="s">
        <v>111</v>
      </c>
      <c r="C24" s="716">
        <f aca="true" t="shared" si="8" ref="C24:C29">SUM(D24:R24)</f>
        <v>1294642</v>
      </c>
      <c r="D24" s="717">
        <v>0</v>
      </c>
      <c r="E24" s="718">
        <f>106+188</f>
        <v>294</v>
      </c>
      <c r="F24" s="718">
        <f>3431+2040</f>
        <v>5471</v>
      </c>
      <c r="G24" s="718">
        <f>11282+3571</f>
        <v>14853</v>
      </c>
      <c r="H24" s="718">
        <f>7612+8009</f>
        <v>15621</v>
      </c>
      <c r="I24" s="718">
        <f>18399+11373</f>
        <v>29772</v>
      </c>
      <c r="J24" s="718">
        <f>26909+15089</f>
        <v>41998</v>
      </c>
      <c r="K24" s="718">
        <f>29739+29739</f>
        <v>59478</v>
      </c>
      <c r="L24" s="718">
        <f>50364+37169</f>
        <v>87533</v>
      </c>
      <c r="M24" s="718">
        <f>73535+68215</f>
        <v>141750</v>
      </c>
      <c r="N24" s="718">
        <f>130453+117097</f>
        <v>247550</v>
      </c>
      <c r="O24" s="718">
        <f>132776+149116</f>
        <v>281892</v>
      </c>
      <c r="P24" s="718">
        <f>58677+62527</f>
        <v>121204</v>
      </c>
      <c r="Q24" s="718">
        <f>56574+30949</f>
        <v>87523</v>
      </c>
      <c r="R24" s="719">
        <f>106763+52940</f>
        <v>159703</v>
      </c>
      <c r="S24" s="666">
        <v>12</v>
      </c>
      <c r="T24" s="650"/>
    </row>
    <row r="25" spans="1:20" s="651" customFormat="1" ht="19.5" customHeight="1">
      <c r="A25" s="813">
        <v>13</v>
      </c>
      <c r="B25" s="667" t="s">
        <v>116</v>
      </c>
      <c r="C25" s="716">
        <f t="shared" si="8"/>
        <v>5966</v>
      </c>
      <c r="D25" s="677">
        <v>0</v>
      </c>
      <c r="E25" s="668">
        <v>0</v>
      </c>
      <c r="F25" s="677">
        <v>0</v>
      </c>
      <c r="G25" s="668">
        <v>3</v>
      </c>
      <c r="H25" s="668">
        <v>0</v>
      </c>
      <c r="I25" s="677">
        <v>0</v>
      </c>
      <c r="J25" s="677">
        <v>38</v>
      </c>
      <c r="K25" s="677">
        <v>62</v>
      </c>
      <c r="L25" s="677">
        <v>432</v>
      </c>
      <c r="M25" s="677">
        <v>31</v>
      </c>
      <c r="N25" s="677">
        <v>3332</v>
      </c>
      <c r="O25" s="668">
        <v>1669</v>
      </c>
      <c r="P25" s="668">
        <v>0</v>
      </c>
      <c r="Q25" s="668">
        <v>0</v>
      </c>
      <c r="R25" s="720">
        <v>399</v>
      </c>
      <c r="S25" s="666">
        <v>13</v>
      </c>
      <c r="T25" s="650"/>
    </row>
    <row r="26" spans="1:20" s="651" customFormat="1" ht="19.5" customHeight="1">
      <c r="A26" s="813">
        <v>14</v>
      </c>
      <c r="B26" s="667" t="s">
        <v>119</v>
      </c>
      <c r="C26" s="716">
        <f t="shared" si="8"/>
        <v>2236</v>
      </c>
      <c r="D26" s="677">
        <v>0</v>
      </c>
      <c r="E26" s="668">
        <v>0</v>
      </c>
      <c r="F26" s="668">
        <v>0</v>
      </c>
      <c r="G26" s="668">
        <v>0</v>
      </c>
      <c r="H26" s="677">
        <v>0</v>
      </c>
      <c r="I26" s="668">
        <v>111</v>
      </c>
      <c r="J26" s="668">
        <v>0</v>
      </c>
      <c r="K26" s="679">
        <v>0</v>
      </c>
      <c r="L26" s="679">
        <v>237</v>
      </c>
      <c r="M26" s="679">
        <v>27</v>
      </c>
      <c r="N26" s="677">
        <v>26</v>
      </c>
      <c r="O26" s="668">
        <v>1835</v>
      </c>
      <c r="P26" s="668">
        <v>0</v>
      </c>
      <c r="Q26" s="668">
        <v>0</v>
      </c>
      <c r="R26" s="680">
        <v>0</v>
      </c>
      <c r="S26" s="666">
        <v>14</v>
      </c>
      <c r="T26" s="650"/>
    </row>
    <row r="27" spans="1:20" s="651" customFormat="1" ht="19.5" customHeight="1">
      <c r="A27" s="813">
        <v>15</v>
      </c>
      <c r="B27" s="667" t="s">
        <v>112</v>
      </c>
      <c r="C27" s="716">
        <f t="shared" si="8"/>
        <v>2765189</v>
      </c>
      <c r="D27" s="717">
        <v>0</v>
      </c>
      <c r="E27" s="718">
        <v>1265</v>
      </c>
      <c r="F27" s="718">
        <v>8687</v>
      </c>
      <c r="G27" s="718">
        <v>14455</v>
      </c>
      <c r="H27" s="718">
        <v>32477</v>
      </c>
      <c r="I27" s="718">
        <v>65078</v>
      </c>
      <c r="J27" s="718">
        <v>143943</v>
      </c>
      <c r="K27" s="718">
        <v>247683</v>
      </c>
      <c r="L27" s="718">
        <v>393903</v>
      </c>
      <c r="M27" s="718">
        <v>606575</v>
      </c>
      <c r="N27" s="718">
        <v>493587</v>
      </c>
      <c r="O27" s="718">
        <v>318570</v>
      </c>
      <c r="P27" s="718">
        <v>148789</v>
      </c>
      <c r="Q27" s="718">
        <v>89939</v>
      </c>
      <c r="R27" s="719">
        <v>200238</v>
      </c>
      <c r="S27" s="666">
        <v>15</v>
      </c>
      <c r="T27" s="650"/>
    </row>
    <row r="28" spans="1:20" s="651" customFormat="1" ht="19.5" customHeight="1">
      <c r="A28" s="813">
        <v>16</v>
      </c>
      <c r="B28" s="667" t="s">
        <v>113</v>
      </c>
      <c r="C28" s="716">
        <f t="shared" si="8"/>
        <v>313443</v>
      </c>
      <c r="D28" s="717">
        <v>0</v>
      </c>
      <c r="E28" s="717">
        <v>49</v>
      </c>
      <c r="F28" s="718">
        <v>392</v>
      </c>
      <c r="G28" s="718">
        <v>696</v>
      </c>
      <c r="H28" s="718">
        <v>1731</v>
      </c>
      <c r="I28" s="718">
        <v>2277</v>
      </c>
      <c r="J28" s="718">
        <v>8939</v>
      </c>
      <c r="K28" s="718">
        <v>19076</v>
      </c>
      <c r="L28" s="718">
        <v>45229</v>
      </c>
      <c r="M28" s="718">
        <v>99864</v>
      </c>
      <c r="N28" s="718">
        <v>75019</v>
      </c>
      <c r="O28" s="718">
        <v>27330</v>
      </c>
      <c r="P28" s="718">
        <v>8980</v>
      </c>
      <c r="Q28" s="718">
        <v>4134</v>
      </c>
      <c r="R28" s="719">
        <v>19727</v>
      </c>
      <c r="S28" s="666">
        <v>16</v>
      </c>
      <c r="T28" s="650"/>
    </row>
    <row r="29" spans="1:20" s="722" customFormat="1" ht="19.5" customHeight="1">
      <c r="A29" s="813">
        <v>17</v>
      </c>
      <c r="B29" s="667" t="s">
        <v>114</v>
      </c>
      <c r="C29" s="716">
        <f t="shared" si="8"/>
        <v>115525</v>
      </c>
      <c r="D29" s="717">
        <v>0</v>
      </c>
      <c r="E29" s="717">
        <v>0</v>
      </c>
      <c r="F29" s="718">
        <v>24</v>
      </c>
      <c r="G29" s="718">
        <v>110</v>
      </c>
      <c r="H29" s="718">
        <v>507</v>
      </c>
      <c r="I29" s="718">
        <v>1655</v>
      </c>
      <c r="J29" s="718">
        <v>3056</v>
      </c>
      <c r="K29" s="718">
        <v>4686</v>
      </c>
      <c r="L29" s="718">
        <v>20706</v>
      </c>
      <c r="M29" s="718">
        <v>43024</v>
      </c>
      <c r="N29" s="718">
        <v>19407</v>
      </c>
      <c r="O29" s="718">
        <v>9800</v>
      </c>
      <c r="P29" s="718">
        <v>4746</v>
      </c>
      <c r="Q29" s="718">
        <v>811</v>
      </c>
      <c r="R29" s="719">
        <v>6993</v>
      </c>
      <c r="S29" s="666">
        <v>17</v>
      </c>
      <c r="T29" s="721"/>
    </row>
    <row r="30" spans="1:20" s="704" customFormat="1" ht="19.5" customHeight="1">
      <c r="A30" s="1086" t="s">
        <v>370</v>
      </c>
      <c r="B30" s="1087"/>
      <c r="C30" s="711">
        <f aca="true" t="shared" si="9" ref="C30:R30">SUM(C31:C39)</f>
        <v>6881055</v>
      </c>
      <c r="D30" s="700">
        <f t="shared" si="9"/>
        <v>0</v>
      </c>
      <c r="E30" s="700">
        <f t="shared" si="9"/>
        <v>973</v>
      </c>
      <c r="F30" s="700">
        <f t="shared" si="9"/>
        <v>15669</v>
      </c>
      <c r="G30" s="700">
        <f t="shared" si="9"/>
        <v>44575</v>
      </c>
      <c r="H30" s="700">
        <f t="shared" si="9"/>
        <v>95756</v>
      </c>
      <c r="I30" s="700">
        <f t="shared" si="9"/>
        <v>173644</v>
      </c>
      <c r="J30" s="700">
        <f t="shared" si="9"/>
        <v>414165</v>
      </c>
      <c r="K30" s="700">
        <f t="shared" si="9"/>
        <v>839197</v>
      </c>
      <c r="L30" s="700">
        <f t="shared" si="9"/>
        <v>1208636</v>
      </c>
      <c r="M30" s="700">
        <f t="shared" si="9"/>
        <v>1210943</v>
      </c>
      <c r="N30" s="700">
        <f t="shared" si="9"/>
        <v>1083913</v>
      </c>
      <c r="O30" s="700">
        <f t="shared" si="9"/>
        <v>607774</v>
      </c>
      <c r="P30" s="700">
        <f t="shared" si="9"/>
        <v>321530</v>
      </c>
      <c r="Q30" s="700">
        <f t="shared" si="9"/>
        <v>284517</v>
      </c>
      <c r="R30" s="701">
        <f t="shared" si="9"/>
        <v>579763</v>
      </c>
      <c r="S30" s="712"/>
      <c r="T30" s="703"/>
    </row>
    <row r="31" spans="1:20" s="651" customFormat="1" ht="19.5" customHeight="1">
      <c r="A31" s="813">
        <v>18</v>
      </c>
      <c r="B31" s="667" t="s">
        <v>117</v>
      </c>
      <c r="C31" s="716">
        <f aca="true" t="shared" si="10" ref="C31:C37">SUM(D31:R31)</f>
        <v>156493</v>
      </c>
      <c r="D31" s="677">
        <v>0</v>
      </c>
      <c r="E31" s="717">
        <v>37</v>
      </c>
      <c r="F31" s="679">
        <v>4</v>
      </c>
      <c r="G31" s="679">
        <v>422</v>
      </c>
      <c r="H31" s="679">
        <v>353</v>
      </c>
      <c r="I31" s="679">
        <v>3354</v>
      </c>
      <c r="J31" s="679">
        <v>2337</v>
      </c>
      <c r="K31" s="679">
        <v>5114</v>
      </c>
      <c r="L31" s="679">
        <v>10750</v>
      </c>
      <c r="M31" s="679">
        <v>13928</v>
      </c>
      <c r="N31" s="679">
        <v>12263</v>
      </c>
      <c r="O31" s="679">
        <v>25677</v>
      </c>
      <c r="P31" s="679">
        <v>13590</v>
      </c>
      <c r="Q31" s="679">
        <v>14664</v>
      </c>
      <c r="R31" s="720">
        <v>54000</v>
      </c>
      <c r="S31" s="666">
        <v>18</v>
      </c>
      <c r="T31" s="650"/>
    </row>
    <row r="32" spans="1:20" s="651" customFormat="1" ht="19.5" customHeight="1">
      <c r="A32" s="813">
        <v>19</v>
      </c>
      <c r="B32" s="667" t="s">
        <v>118</v>
      </c>
      <c r="C32" s="716">
        <f t="shared" si="10"/>
        <v>13371</v>
      </c>
      <c r="D32" s="677">
        <v>0</v>
      </c>
      <c r="E32" s="717">
        <v>0</v>
      </c>
      <c r="F32" s="717">
        <v>0</v>
      </c>
      <c r="G32" s="717">
        <v>0</v>
      </c>
      <c r="H32" s="717">
        <v>0</v>
      </c>
      <c r="I32" s="717">
        <v>0</v>
      </c>
      <c r="J32" s="717">
        <v>0</v>
      </c>
      <c r="K32" s="679">
        <v>0</v>
      </c>
      <c r="L32" s="679">
        <v>777</v>
      </c>
      <c r="M32" s="679">
        <v>14</v>
      </c>
      <c r="N32" s="679">
        <v>445</v>
      </c>
      <c r="O32" s="679">
        <v>3682</v>
      </c>
      <c r="P32" s="679">
        <v>652</v>
      </c>
      <c r="Q32" s="679">
        <v>3150</v>
      </c>
      <c r="R32" s="720">
        <v>4651</v>
      </c>
      <c r="S32" s="666">
        <v>19</v>
      </c>
      <c r="T32" s="650"/>
    </row>
    <row r="33" spans="1:20" s="651" customFormat="1" ht="19.5" customHeight="1">
      <c r="A33" s="813">
        <v>20</v>
      </c>
      <c r="B33" s="667" t="s">
        <v>120</v>
      </c>
      <c r="C33" s="716">
        <f t="shared" si="10"/>
        <v>98</v>
      </c>
      <c r="D33" s="677">
        <v>0</v>
      </c>
      <c r="E33" s="717">
        <v>0</v>
      </c>
      <c r="F33" s="717">
        <v>0</v>
      </c>
      <c r="G33" s="717">
        <v>0</v>
      </c>
      <c r="H33" s="717">
        <v>0</v>
      </c>
      <c r="I33" s="677">
        <v>0</v>
      </c>
      <c r="J33" s="717">
        <v>98</v>
      </c>
      <c r="K33" s="717">
        <v>0</v>
      </c>
      <c r="L33" s="717">
        <v>0</v>
      </c>
      <c r="M33" s="717">
        <v>0</v>
      </c>
      <c r="N33" s="717">
        <v>0</v>
      </c>
      <c r="O33" s="717">
        <v>0</v>
      </c>
      <c r="P33" s="717">
        <v>0</v>
      </c>
      <c r="Q33" s="717">
        <v>0</v>
      </c>
      <c r="R33" s="723">
        <v>0</v>
      </c>
      <c r="S33" s="666">
        <v>20</v>
      </c>
      <c r="T33" s="650"/>
    </row>
    <row r="34" spans="1:20" s="651" customFormat="1" ht="19.5" customHeight="1">
      <c r="A34" s="813">
        <v>21</v>
      </c>
      <c r="B34" s="667" t="s">
        <v>136</v>
      </c>
      <c r="C34" s="716">
        <f t="shared" si="10"/>
        <v>265</v>
      </c>
      <c r="D34" s="677">
        <v>0</v>
      </c>
      <c r="E34" s="717">
        <v>0</v>
      </c>
      <c r="F34" s="717">
        <v>0</v>
      </c>
      <c r="G34" s="717">
        <v>0</v>
      </c>
      <c r="H34" s="717">
        <v>0</v>
      </c>
      <c r="I34" s="717">
        <v>0</v>
      </c>
      <c r="J34" s="717">
        <v>0</v>
      </c>
      <c r="K34" s="717">
        <v>0</v>
      </c>
      <c r="L34" s="717">
        <v>0</v>
      </c>
      <c r="M34" s="717">
        <v>0</v>
      </c>
      <c r="N34" s="677">
        <v>0</v>
      </c>
      <c r="O34" s="717">
        <v>164</v>
      </c>
      <c r="P34" s="677"/>
      <c r="Q34" s="717">
        <v>23</v>
      </c>
      <c r="R34" s="720">
        <v>78</v>
      </c>
      <c r="S34" s="666">
        <v>21</v>
      </c>
      <c r="T34" s="650"/>
    </row>
    <row r="35" spans="1:20" s="651" customFormat="1" ht="19.5" customHeight="1">
      <c r="A35" s="813">
        <v>22</v>
      </c>
      <c r="B35" s="667" t="s">
        <v>121</v>
      </c>
      <c r="C35" s="716">
        <f t="shared" si="10"/>
        <v>9130</v>
      </c>
      <c r="D35" s="677">
        <v>0</v>
      </c>
      <c r="E35" s="717">
        <v>0</v>
      </c>
      <c r="F35" s="717">
        <v>0</v>
      </c>
      <c r="G35" s="717">
        <v>0</v>
      </c>
      <c r="H35" s="717">
        <v>0</v>
      </c>
      <c r="I35" s="717">
        <v>0</v>
      </c>
      <c r="J35" s="679">
        <v>0</v>
      </c>
      <c r="K35" s="679">
        <v>106</v>
      </c>
      <c r="L35" s="679">
        <v>161</v>
      </c>
      <c r="M35" s="679">
        <v>544</v>
      </c>
      <c r="N35" s="679">
        <v>1006</v>
      </c>
      <c r="O35" s="679">
        <v>2780</v>
      </c>
      <c r="P35" s="679">
        <v>151</v>
      </c>
      <c r="Q35" s="679">
        <v>152</v>
      </c>
      <c r="R35" s="720">
        <v>4230</v>
      </c>
      <c r="S35" s="666">
        <v>22</v>
      </c>
      <c r="T35" s="650"/>
    </row>
    <row r="36" spans="1:20" s="651" customFormat="1" ht="19.5" customHeight="1">
      <c r="A36" s="813">
        <v>23</v>
      </c>
      <c r="B36" s="667" t="s">
        <v>122</v>
      </c>
      <c r="C36" s="716">
        <f t="shared" si="10"/>
        <v>163</v>
      </c>
      <c r="D36" s="677">
        <v>0</v>
      </c>
      <c r="E36" s="717">
        <v>0</v>
      </c>
      <c r="F36" s="717">
        <v>0</v>
      </c>
      <c r="G36" s="717">
        <v>0</v>
      </c>
      <c r="H36" s="717">
        <v>0</v>
      </c>
      <c r="I36" s="677">
        <v>0</v>
      </c>
      <c r="J36" s="717">
        <v>5</v>
      </c>
      <c r="K36" s="717">
        <v>0</v>
      </c>
      <c r="L36" s="717">
        <v>0</v>
      </c>
      <c r="M36" s="677">
        <v>0</v>
      </c>
      <c r="N36" s="717">
        <v>29</v>
      </c>
      <c r="O36" s="717">
        <v>0</v>
      </c>
      <c r="P36" s="717">
        <v>0</v>
      </c>
      <c r="Q36" s="717">
        <v>0</v>
      </c>
      <c r="R36" s="720">
        <v>129</v>
      </c>
      <c r="S36" s="666">
        <v>23</v>
      </c>
      <c r="T36" s="650"/>
    </row>
    <row r="37" spans="1:20" s="651" customFormat="1" ht="19.5" customHeight="1">
      <c r="A37" s="813">
        <v>24</v>
      </c>
      <c r="B37" s="667" t="s">
        <v>123</v>
      </c>
      <c r="C37" s="716">
        <f t="shared" si="10"/>
        <v>13240</v>
      </c>
      <c r="D37" s="677">
        <v>0</v>
      </c>
      <c r="E37" s="717">
        <v>0</v>
      </c>
      <c r="F37" s="717">
        <v>0</v>
      </c>
      <c r="G37" s="717">
        <v>0</v>
      </c>
      <c r="H37" s="717">
        <v>0</v>
      </c>
      <c r="I37" s="717">
        <v>0</v>
      </c>
      <c r="J37" s="679">
        <v>0</v>
      </c>
      <c r="K37" s="679">
        <v>68</v>
      </c>
      <c r="L37" s="679">
        <v>311</v>
      </c>
      <c r="M37" s="679">
        <v>1176</v>
      </c>
      <c r="N37" s="679">
        <v>1013</v>
      </c>
      <c r="O37" s="679">
        <v>2198</v>
      </c>
      <c r="P37" s="679">
        <v>2588</v>
      </c>
      <c r="Q37" s="679">
        <v>807</v>
      </c>
      <c r="R37" s="720">
        <v>5079</v>
      </c>
      <c r="S37" s="666">
        <v>24</v>
      </c>
      <c r="T37" s="650"/>
    </row>
    <row r="38" spans="1:20" s="651" customFormat="1" ht="19.5" customHeight="1">
      <c r="A38" s="813">
        <v>25</v>
      </c>
      <c r="B38" s="667" t="s">
        <v>115</v>
      </c>
      <c r="C38" s="716">
        <f>SUM(D38:R38)</f>
        <v>3730231</v>
      </c>
      <c r="D38" s="677">
        <v>0</v>
      </c>
      <c r="E38" s="679">
        <v>455</v>
      </c>
      <c r="F38" s="679">
        <v>8631</v>
      </c>
      <c r="G38" s="679">
        <v>23201</v>
      </c>
      <c r="H38" s="679">
        <v>50904</v>
      </c>
      <c r="I38" s="679">
        <v>72890</v>
      </c>
      <c r="J38" s="679">
        <v>186614</v>
      </c>
      <c r="K38" s="679">
        <v>401714</v>
      </c>
      <c r="L38" s="679">
        <v>688991</v>
      </c>
      <c r="M38" s="679">
        <v>701755</v>
      </c>
      <c r="N38" s="679">
        <v>617395</v>
      </c>
      <c r="O38" s="679">
        <v>317388</v>
      </c>
      <c r="P38" s="679">
        <v>206135</v>
      </c>
      <c r="Q38" s="679">
        <v>174904</v>
      </c>
      <c r="R38" s="720">
        <v>279254</v>
      </c>
      <c r="S38" s="666">
        <v>25</v>
      </c>
      <c r="T38" s="650"/>
    </row>
    <row r="39" spans="1:20" s="651" customFormat="1" ht="19.5" customHeight="1" thickBot="1">
      <c r="A39" s="813">
        <v>26</v>
      </c>
      <c r="B39" s="667" t="s">
        <v>178</v>
      </c>
      <c r="C39" s="716">
        <f>SUM(D39:R39)</f>
        <v>2958064</v>
      </c>
      <c r="D39" s="677">
        <v>0</v>
      </c>
      <c r="E39" s="679">
        <v>481</v>
      </c>
      <c r="F39" s="679">
        <v>7034</v>
      </c>
      <c r="G39" s="679">
        <v>20952</v>
      </c>
      <c r="H39" s="679">
        <v>44499</v>
      </c>
      <c r="I39" s="679">
        <v>97400</v>
      </c>
      <c r="J39" s="679">
        <v>225111</v>
      </c>
      <c r="K39" s="679">
        <v>432195</v>
      </c>
      <c r="L39" s="679">
        <v>507646</v>
      </c>
      <c r="M39" s="679">
        <v>493526</v>
      </c>
      <c r="N39" s="679">
        <v>451762</v>
      </c>
      <c r="O39" s="679">
        <v>255885</v>
      </c>
      <c r="P39" s="679">
        <v>98414</v>
      </c>
      <c r="Q39" s="679">
        <v>90817</v>
      </c>
      <c r="R39" s="720">
        <v>232342</v>
      </c>
      <c r="S39" s="666">
        <v>26</v>
      </c>
      <c r="T39" s="650"/>
    </row>
    <row r="40" spans="1:19" s="709" customFormat="1" ht="25.5" customHeight="1">
      <c r="A40" s="1090" t="s">
        <v>87</v>
      </c>
      <c r="B40" s="1091"/>
      <c r="C40" s="705">
        <f aca="true" t="shared" si="11" ref="C40:R40">C41+C44+C48</f>
        <v>21892176</v>
      </c>
      <c r="D40" s="705">
        <f t="shared" si="11"/>
        <v>0</v>
      </c>
      <c r="E40" s="705">
        <f t="shared" si="11"/>
        <v>2050</v>
      </c>
      <c r="F40" s="705">
        <f t="shared" si="11"/>
        <v>27775</v>
      </c>
      <c r="G40" s="705">
        <f t="shared" si="11"/>
        <v>78571</v>
      </c>
      <c r="H40" s="705">
        <f t="shared" si="11"/>
        <v>141881</v>
      </c>
      <c r="I40" s="705">
        <f t="shared" si="11"/>
        <v>346375</v>
      </c>
      <c r="J40" s="705">
        <f t="shared" si="11"/>
        <v>620749</v>
      </c>
      <c r="K40" s="705">
        <f t="shared" si="11"/>
        <v>1373980</v>
      </c>
      <c r="L40" s="705">
        <f t="shared" si="11"/>
        <v>2531687</v>
      </c>
      <c r="M40" s="705">
        <f t="shared" si="11"/>
        <v>4136133</v>
      </c>
      <c r="N40" s="705">
        <f t="shared" si="11"/>
        <v>4208615</v>
      </c>
      <c r="O40" s="705">
        <f t="shared" si="11"/>
        <v>3922134</v>
      </c>
      <c r="P40" s="705">
        <f t="shared" si="11"/>
        <v>1401760</v>
      </c>
      <c r="Q40" s="705">
        <f t="shared" si="11"/>
        <v>1015774</v>
      </c>
      <c r="R40" s="707">
        <f t="shared" si="11"/>
        <v>2084692</v>
      </c>
      <c r="S40" s="724"/>
    </row>
    <row r="41" spans="1:19" s="703" customFormat="1" ht="19.5" customHeight="1">
      <c r="A41" s="1086" t="s">
        <v>379</v>
      </c>
      <c r="B41" s="1087"/>
      <c r="C41" s="711">
        <f aca="true" t="shared" si="12" ref="C41:R41">SUM(C42:C43)</f>
        <v>6874082</v>
      </c>
      <c r="D41" s="711">
        <f t="shared" si="12"/>
        <v>0</v>
      </c>
      <c r="E41" s="711">
        <f t="shared" si="12"/>
        <v>904</v>
      </c>
      <c r="F41" s="711">
        <f t="shared" si="12"/>
        <v>10955</v>
      </c>
      <c r="G41" s="711">
        <f t="shared" si="12"/>
        <v>31046</v>
      </c>
      <c r="H41" s="711">
        <f t="shared" si="12"/>
        <v>44331</v>
      </c>
      <c r="I41" s="711">
        <f t="shared" si="12"/>
        <v>86287</v>
      </c>
      <c r="J41" s="711">
        <f t="shared" si="12"/>
        <v>178884</v>
      </c>
      <c r="K41" s="711">
        <f t="shared" si="12"/>
        <v>384962</v>
      </c>
      <c r="L41" s="711">
        <f t="shared" si="12"/>
        <v>839181</v>
      </c>
      <c r="M41" s="711">
        <f t="shared" si="12"/>
        <v>1285147</v>
      </c>
      <c r="N41" s="711">
        <f t="shared" si="12"/>
        <v>1248826</v>
      </c>
      <c r="O41" s="711">
        <f t="shared" si="12"/>
        <v>1152582</v>
      </c>
      <c r="P41" s="711">
        <f t="shared" si="12"/>
        <v>457503</v>
      </c>
      <c r="Q41" s="711">
        <f t="shared" si="12"/>
        <v>357741</v>
      </c>
      <c r="R41" s="701">
        <f t="shared" si="12"/>
        <v>795733</v>
      </c>
      <c r="S41" s="712"/>
    </row>
    <row r="42" spans="1:19" s="650" customFormat="1" ht="19.5" customHeight="1">
      <c r="A42" s="813">
        <v>27</v>
      </c>
      <c r="B42" s="667" t="s">
        <v>124</v>
      </c>
      <c r="C42" s="647">
        <f>SUM(D42:R42)</f>
        <v>4249161</v>
      </c>
      <c r="D42" s="677">
        <v>0</v>
      </c>
      <c r="E42" s="677">
        <v>737</v>
      </c>
      <c r="F42" s="668">
        <v>6844</v>
      </c>
      <c r="G42" s="668">
        <v>18951</v>
      </c>
      <c r="H42" s="668">
        <v>35375</v>
      </c>
      <c r="I42" s="668">
        <v>62102</v>
      </c>
      <c r="J42" s="668">
        <v>116376</v>
      </c>
      <c r="K42" s="668">
        <v>238240</v>
      </c>
      <c r="L42" s="668">
        <v>507944</v>
      </c>
      <c r="M42" s="668">
        <v>792528</v>
      </c>
      <c r="N42" s="668">
        <v>775232</v>
      </c>
      <c r="O42" s="668">
        <v>650147</v>
      </c>
      <c r="P42" s="668">
        <v>286901</v>
      </c>
      <c r="Q42" s="668">
        <v>214155</v>
      </c>
      <c r="R42" s="680">
        <v>543629</v>
      </c>
      <c r="S42" s="666">
        <v>27</v>
      </c>
    </row>
    <row r="43" spans="1:19" s="650" customFormat="1" ht="19.5" customHeight="1">
      <c r="A43" s="813">
        <v>28</v>
      </c>
      <c r="B43" s="667" t="s">
        <v>125</v>
      </c>
      <c r="C43" s="647">
        <f>SUM(D43:R43)</f>
        <v>2624921</v>
      </c>
      <c r="D43" s="677">
        <v>0</v>
      </c>
      <c r="E43" s="668">
        <v>167</v>
      </c>
      <c r="F43" s="668">
        <v>4111</v>
      </c>
      <c r="G43" s="668">
        <v>12095</v>
      </c>
      <c r="H43" s="668">
        <v>8956</v>
      </c>
      <c r="I43" s="668">
        <v>24185</v>
      </c>
      <c r="J43" s="668">
        <v>62508</v>
      </c>
      <c r="K43" s="668">
        <v>146722</v>
      </c>
      <c r="L43" s="668">
        <v>331237</v>
      </c>
      <c r="M43" s="668">
        <v>492619</v>
      </c>
      <c r="N43" s="668">
        <v>473594</v>
      </c>
      <c r="O43" s="668">
        <v>502435</v>
      </c>
      <c r="P43" s="668">
        <v>170602</v>
      </c>
      <c r="Q43" s="668">
        <v>143586</v>
      </c>
      <c r="R43" s="680">
        <v>252104</v>
      </c>
      <c r="S43" s="666">
        <v>28</v>
      </c>
    </row>
    <row r="44" spans="1:19" s="703" customFormat="1" ht="19.5" customHeight="1">
      <c r="A44" s="1086" t="s">
        <v>373</v>
      </c>
      <c r="B44" s="1087"/>
      <c r="C44" s="711">
        <f aca="true" t="shared" si="13" ref="C44:R44">SUM(C45:C47)</f>
        <v>7188055</v>
      </c>
      <c r="D44" s="700">
        <f t="shared" si="13"/>
        <v>0</v>
      </c>
      <c r="E44" s="711">
        <f t="shared" si="13"/>
        <v>713</v>
      </c>
      <c r="F44" s="711">
        <f t="shared" si="13"/>
        <v>8903</v>
      </c>
      <c r="G44" s="711">
        <f t="shared" si="13"/>
        <v>25690</v>
      </c>
      <c r="H44" s="711">
        <f t="shared" si="13"/>
        <v>54849</v>
      </c>
      <c r="I44" s="711">
        <f t="shared" si="13"/>
        <v>132577</v>
      </c>
      <c r="J44" s="711">
        <f t="shared" si="13"/>
        <v>223274</v>
      </c>
      <c r="K44" s="711">
        <f t="shared" si="13"/>
        <v>523035</v>
      </c>
      <c r="L44" s="711">
        <f t="shared" si="13"/>
        <v>846436</v>
      </c>
      <c r="M44" s="711">
        <f t="shared" si="13"/>
        <v>1386778</v>
      </c>
      <c r="N44" s="711">
        <f t="shared" si="13"/>
        <v>1406398</v>
      </c>
      <c r="O44" s="711">
        <f t="shared" si="13"/>
        <v>1310952</v>
      </c>
      <c r="P44" s="711">
        <f t="shared" si="13"/>
        <v>438881</v>
      </c>
      <c r="Q44" s="711">
        <f t="shared" si="13"/>
        <v>291842</v>
      </c>
      <c r="R44" s="701">
        <f t="shared" si="13"/>
        <v>537727</v>
      </c>
      <c r="S44" s="712"/>
    </row>
    <row r="45" spans="1:19" s="650" customFormat="1" ht="19.5" customHeight="1">
      <c r="A45" s="813">
        <v>29</v>
      </c>
      <c r="B45" s="667" t="s">
        <v>126</v>
      </c>
      <c r="C45" s="647">
        <f>SUM(D45:R45)</f>
        <v>3672606</v>
      </c>
      <c r="D45" s="677">
        <v>0</v>
      </c>
      <c r="E45" s="668">
        <v>563</v>
      </c>
      <c r="F45" s="668">
        <v>3800</v>
      </c>
      <c r="G45" s="668">
        <v>6448</v>
      </c>
      <c r="H45" s="668">
        <v>10848</v>
      </c>
      <c r="I45" s="668">
        <v>35104</v>
      </c>
      <c r="J45" s="668">
        <v>53860</v>
      </c>
      <c r="K45" s="668">
        <v>211585</v>
      </c>
      <c r="L45" s="668">
        <v>349878</v>
      </c>
      <c r="M45" s="668">
        <v>752982</v>
      </c>
      <c r="N45" s="668">
        <v>647613</v>
      </c>
      <c r="O45" s="668">
        <v>751782</v>
      </c>
      <c r="P45" s="668">
        <v>293435</v>
      </c>
      <c r="Q45" s="668">
        <v>195474</v>
      </c>
      <c r="R45" s="680">
        <v>359234</v>
      </c>
      <c r="S45" s="666">
        <v>29</v>
      </c>
    </row>
    <row r="46" spans="1:19" s="650" customFormat="1" ht="19.5" customHeight="1">
      <c r="A46" s="813">
        <v>30</v>
      </c>
      <c r="B46" s="667" t="s">
        <v>127</v>
      </c>
      <c r="C46" s="647">
        <f>SUM(D46:R46)</f>
        <v>1365125</v>
      </c>
      <c r="D46" s="677">
        <v>0</v>
      </c>
      <c r="E46" s="668">
        <v>2</v>
      </c>
      <c r="F46" s="668">
        <v>421</v>
      </c>
      <c r="G46" s="668">
        <v>4434</v>
      </c>
      <c r="H46" s="668">
        <v>11965</v>
      </c>
      <c r="I46" s="668">
        <v>38080</v>
      </c>
      <c r="J46" s="668">
        <v>68090</v>
      </c>
      <c r="K46" s="668">
        <v>154584</v>
      </c>
      <c r="L46" s="668">
        <v>307339</v>
      </c>
      <c r="M46" s="668">
        <v>304494</v>
      </c>
      <c r="N46" s="668">
        <v>282111</v>
      </c>
      <c r="O46" s="668">
        <v>134523</v>
      </c>
      <c r="P46" s="668">
        <v>19801</v>
      </c>
      <c r="Q46" s="668">
        <v>8590</v>
      </c>
      <c r="R46" s="680">
        <v>30691</v>
      </c>
      <c r="S46" s="666">
        <v>30</v>
      </c>
    </row>
    <row r="47" spans="1:19" s="650" customFormat="1" ht="19.5" customHeight="1">
      <c r="A47" s="813">
        <v>31</v>
      </c>
      <c r="B47" s="667" t="s">
        <v>137</v>
      </c>
      <c r="C47" s="647">
        <f>SUM(D47:R47)</f>
        <v>2150324</v>
      </c>
      <c r="D47" s="677">
        <v>0</v>
      </c>
      <c r="E47" s="668">
        <v>148</v>
      </c>
      <c r="F47" s="668">
        <v>4682</v>
      </c>
      <c r="G47" s="668">
        <v>14808</v>
      </c>
      <c r="H47" s="668">
        <v>32036</v>
      </c>
      <c r="I47" s="668">
        <v>59393</v>
      </c>
      <c r="J47" s="668">
        <v>101324</v>
      </c>
      <c r="K47" s="668">
        <v>156866</v>
      </c>
      <c r="L47" s="668">
        <v>189219</v>
      </c>
      <c r="M47" s="668">
        <v>329302</v>
      </c>
      <c r="N47" s="668">
        <v>476674</v>
      </c>
      <c r="O47" s="668">
        <v>424647</v>
      </c>
      <c r="P47" s="668">
        <v>125645</v>
      </c>
      <c r="Q47" s="668">
        <v>87778</v>
      </c>
      <c r="R47" s="680">
        <v>147802</v>
      </c>
      <c r="S47" s="666">
        <v>31</v>
      </c>
    </row>
    <row r="48" spans="1:19" s="703" customFormat="1" ht="19.5" customHeight="1">
      <c r="A48" s="1086" t="s">
        <v>374</v>
      </c>
      <c r="B48" s="1087"/>
      <c r="C48" s="711">
        <f aca="true" t="shared" si="14" ref="C48:R48">SUM(C49:C52)</f>
        <v>7830039</v>
      </c>
      <c r="D48" s="700">
        <f t="shared" si="14"/>
        <v>0</v>
      </c>
      <c r="E48" s="711">
        <f t="shared" si="14"/>
        <v>433</v>
      </c>
      <c r="F48" s="711">
        <f t="shared" si="14"/>
        <v>7917</v>
      </c>
      <c r="G48" s="711">
        <f t="shared" si="14"/>
        <v>21835</v>
      </c>
      <c r="H48" s="711">
        <f t="shared" si="14"/>
        <v>42701</v>
      </c>
      <c r="I48" s="711">
        <f t="shared" si="14"/>
        <v>127511</v>
      </c>
      <c r="J48" s="711">
        <f t="shared" si="14"/>
        <v>218591</v>
      </c>
      <c r="K48" s="711">
        <f t="shared" si="14"/>
        <v>465983</v>
      </c>
      <c r="L48" s="711">
        <f t="shared" si="14"/>
        <v>846070</v>
      </c>
      <c r="M48" s="711">
        <f t="shared" si="14"/>
        <v>1464208</v>
      </c>
      <c r="N48" s="711">
        <f t="shared" si="14"/>
        <v>1553391</v>
      </c>
      <c r="O48" s="711">
        <f t="shared" si="14"/>
        <v>1458600</v>
      </c>
      <c r="P48" s="711">
        <f t="shared" si="14"/>
        <v>505376</v>
      </c>
      <c r="Q48" s="711">
        <f t="shared" si="14"/>
        <v>366191</v>
      </c>
      <c r="R48" s="701">
        <f t="shared" si="14"/>
        <v>751232</v>
      </c>
      <c r="S48" s="712"/>
    </row>
    <row r="49" spans="1:19" s="650" customFormat="1" ht="19.5" customHeight="1">
      <c r="A49" s="813">
        <v>32</v>
      </c>
      <c r="B49" s="667" t="s">
        <v>128</v>
      </c>
      <c r="C49" s="647">
        <f>SUM(D49:R49)</f>
        <v>1149869</v>
      </c>
      <c r="D49" s="677">
        <v>0</v>
      </c>
      <c r="E49" s="668">
        <v>237</v>
      </c>
      <c r="F49" s="668">
        <v>1477</v>
      </c>
      <c r="G49" s="668">
        <v>3067</v>
      </c>
      <c r="H49" s="668">
        <v>6367</v>
      </c>
      <c r="I49" s="668">
        <v>12996</v>
      </c>
      <c r="J49" s="668">
        <v>22842</v>
      </c>
      <c r="K49" s="668">
        <v>52267</v>
      </c>
      <c r="L49" s="668">
        <v>152804</v>
      </c>
      <c r="M49" s="668">
        <v>208130</v>
      </c>
      <c r="N49" s="668">
        <v>267827</v>
      </c>
      <c r="O49" s="668">
        <v>207301</v>
      </c>
      <c r="P49" s="668">
        <v>65809</v>
      </c>
      <c r="Q49" s="668">
        <v>44334</v>
      </c>
      <c r="R49" s="680">
        <v>104411</v>
      </c>
      <c r="S49" s="666">
        <v>32</v>
      </c>
    </row>
    <row r="50" spans="1:19" s="650" customFormat="1" ht="19.5" customHeight="1">
      <c r="A50" s="813">
        <v>33</v>
      </c>
      <c r="B50" s="667" t="s">
        <v>129</v>
      </c>
      <c r="C50" s="647">
        <f>SUM(D50:R50)</f>
        <v>3656665</v>
      </c>
      <c r="D50" s="677">
        <v>0</v>
      </c>
      <c r="E50" s="668">
        <v>123</v>
      </c>
      <c r="F50" s="668">
        <v>3508</v>
      </c>
      <c r="G50" s="668">
        <v>12445</v>
      </c>
      <c r="H50" s="668">
        <v>16512</v>
      </c>
      <c r="I50" s="668">
        <v>60793</v>
      </c>
      <c r="J50" s="668">
        <v>77526</v>
      </c>
      <c r="K50" s="668">
        <v>203060</v>
      </c>
      <c r="L50" s="668">
        <v>341216</v>
      </c>
      <c r="M50" s="668">
        <v>706645</v>
      </c>
      <c r="N50" s="668">
        <v>715719</v>
      </c>
      <c r="O50" s="668">
        <v>722913</v>
      </c>
      <c r="P50" s="668">
        <v>192570</v>
      </c>
      <c r="Q50" s="668">
        <v>182201</v>
      </c>
      <c r="R50" s="680">
        <v>421434</v>
      </c>
      <c r="S50" s="666">
        <v>33</v>
      </c>
    </row>
    <row r="51" spans="1:19" s="650" customFormat="1" ht="19.5" customHeight="1">
      <c r="A51" s="813">
        <v>34</v>
      </c>
      <c r="B51" s="667" t="s">
        <v>130</v>
      </c>
      <c r="C51" s="647">
        <f>SUM(D51:R51)</f>
        <v>2139987</v>
      </c>
      <c r="D51" s="677">
        <v>0</v>
      </c>
      <c r="E51" s="668">
        <v>44</v>
      </c>
      <c r="F51" s="668">
        <v>1099</v>
      </c>
      <c r="G51" s="668">
        <v>4286</v>
      </c>
      <c r="H51" s="668">
        <v>17151</v>
      </c>
      <c r="I51" s="668">
        <v>42224</v>
      </c>
      <c r="J51" s="668">
        <v>97277</v>
      </c>
      <c r="K51" s="668">
        <v>166163</v>
      </c>
      <c r="L51" s="668">
        <v>254949</v>
      </c>
      <c r="M51" s="668">
        <v>398249</v>
      </c>
      <c r="N51" s="668">
        <v>382972</v>
      </c>
      <c r="O51" s="668">
        <v>344660</v>
      </c>
      <c r="P51" s="668">
        <v>167921</v>
      </c>
      <c r="Q51" s="668">
        <v>87841</v>
      </c>
      <c r="R51" s="680">
        <v>175151</v>
      </c>
      <c r="S51" s="666">
        <v>34</v>
      </c>
    </row>
    <row r="52" spans="1:19" s="650" customFormat="1" ht="19.5" customHeight="1" thickBot="1">
      <c r="A52" s="715">
        <v>35</v>
      </c>
      <c r="B52" s="688" t="s">
        <v>131</v>
      </c>
      <c r="C52" s="689">
        <f>SUM(D52:R52)</f>
        <v>883518</v>
      </c>
      <c r="D52" s="725">
        <v>0</v>
      </c>
      <c r="E52" s="690">
        <v>29</v>
      </c>
      <c r="F52" s="690">
        <v>1833</v>
      </c>
      <c r="G52" s="690">
        <v>2037</v>
      </c>
      <c r="H52" s="690">
        <v>2671</v>
      </c>
      <c r="I52" s="690">
        <v>11498</v>
      </c>
      <c r="J52" s="690">
        <v>20946</v>
      </c>
      <c r="K52" s="690">
        <v>44493</v>
      </c>
      <c r="L52" s="690">
        <v>97101</v>
      </c>
      <c r="M52" s="690">
        <v>151184</v>
      </c>
      <c r="N52" s="690">
        <v>186873</v>
      </c>
      <c r="O52" s="690">
        <v>183726</v>
      </c>
      <c r="P52" s="690">
        <v>79076</v>
      </c>
      <c r="Q52" s="690">
        <v>51815</v>
      </c>
      <c r="R52" s="726">
        <v>50236</v>
      </c>
      <c r="S52" s="687">
        <v>35</v>
      </c>
    </row>
    <row r="53" spans="1:20" ht="12">
      <c r="A53" s="637" t="s">
        <v>294</v>
      </c>
      <c r="B53" s="637"/>
      <c r="C53" s="635"/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S53" s="639"/>
      <c r="T53" s="637"/>
    </row>
    <row r="54" spans="2:20" ht="12">
      <c r="B54" s="637"/>
      <c r="C54" s="635"/>
      <c r="D54" s="635"/>
      <c r="E54" s="635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9"/>
      <c r="T54" s="637"/>
    </row>
  </sheetData>
  <sheetProtection/>
  <mergeCells count="15">
    <mergeCell ref="A44:B44"/>
    <mergeCell ref="A48:B48"/>
    <mergeCell ref="A22:B22"/>
    <mergeCell ref="A23:B23"/>
    <mergeCell ref="A30:B30"/>
    <mergeCell ref="A40:B40"/>
    <mergeCell ref="A41:B41"/>
    <mergeCell ref="A3:B3"/>
    <mergeCell ref="A5:B5"/>
    <mergeCell ref="A4:B4"/>
    <mergeCell ref="A15:B15"/>
    <mergeCell ref="A6:B6"/>
    <mergeCell ref="A7:B7"/>
    <mergeCell ref="A8:B8"/>
    <mergeCell ref="A14:B14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74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T39"/>
  <sheetViews>
    <sheetView view="pageBreakPreview" zoomScaleSheetLayoutView="100" zoomScalePageLayoutView="0" workbookViewId="0" topLeftCell="A11">
      <selection activeCell="M34" sqref="M34"/>
    </sheetView>
  </sheetViews>
  <sheetFormatPr defaultColWidth="9.00390625" defaultRowHeight="13.5"/>
  <cols>
    <col min="1" max="1" width="12.625" style="728" customWidth="1"/>
    <col min="2" max="2" width="11.875" style="728" customWidth="1"/>
    <col min="3" max="3" width="5.125" style="728" customWidth="1"/>
    <col min="4" max="4" width="7.625" style="728" customWidth="1"/>
    <col min="5" max="5" width="5.125" style="728" customWidth="1"/>
    <col min="6" max="6" width="7.625" style="728" customWidth="1"/>
    <col min="7" max="7" width="5.125" style="728" customWidth="1"/>
    <col min="8" max="8" width="7.625" style="728" customWidth="1"/>
    <col min="9" max="9" width="5.125" style="728" customWidth="1"/>
    <col min="10" max="10" width="7.625" style="728" customWidth="1"/>
    <col min="11" max="11" width="5.125" style="728" customWidth="1"/>
    <col min="12" max="12" width="7.625" style="728" customWidth="1"/>
    <col min="13" max="13" width="5.125" style="728" customWidth="1"/>
    <col min="14" max="14" width="7.625" style="728" customWidth="1"/>
    <col min="15" max="15" width="15.625" style="728" customWidth="1"/>
    <col min="16" max="16" width="11.875" style="728" customWidth="1"/>
    <col min="17" max="20" width="15.625" style="728" customWidth="1"/>
    <col min="21" max="16384" width="9.00390625" style="728" customWidth="1"/>
  </cols>
  <sheetData>
    <row r="1" ht="17.25">
      <c r="A1" s="727" t="s">
        <v>302</v>
      </c>
    </row>
    <row r="3" spans="1:20" s="729" customFormat="1" ht="14.25">
      <c r="A3" s="729" t="s">
        <v>303</v>
      </c>
      <c r="O3" s="730" t="s">
        <v>304</v>
      </c>
      <c r="Q3" s="731"/>
      <c r="R3" s="731"/>
      <c r="S3" s="731"/>
      <c r="T3" s="731"/>
    </row>
    <row r="4" spans="14:20" ht="12.75" thickBot="1">
      <c r="N4" s="732" t="s">
        <v>17</v>
      </c>
      <c r="Q4" s="731"/>
      <c r="R4" s="731"/>
      <c r="S4" s="731"/>
      <c r="T4" s="733" t="s">
        <v>17</v>
      </c>
    </row>
    <row r="5" spans="1:20" s="734" customFormat="1" ht="15" customHeight="1">
      <c r="A5" s="1125" t="s">
        <v>305</v>
      </c>
      <c r="B5" s="1126"/>
      <c r="C5" s="1120" t="s">
        <v>306</v>
      </c>
      <c r="D5" s="1121"/>
      <c r="E5" s="1120" t="s">
        <v>307</v>
      </c>
      <c r="F5" s="1121"/>
      <c r="G5" s="1120" t="s">
        <v>308</v>
      </c>
      <c r="H5" s="1121"/>
      <c r="I5" s="1120" t="s">
        <v>309</v>
      </c>
      <c r="J5" s="1121"/>
      <c r="K5" s="1120" t="s">
        <v>310</v>
      </c>
      <c r="L5" s="1121"/>
      <c r="M5" s="1120" t="s">
        <v>311</v>
      </c>
      <c r="N5" s="1124"/>
      <c r="O5" s="1109" t="s">
        <v>305</v>
      </c>
      <c r="P5" s="1110"/>
      <c r="Q5" s="1112" t="s">
        <v>312</v>
      </c>
      <c r="R5" s="1103" t="s">
        <v>313</v>
      </c>
      <c r="S5" s="1103" t="s">
        <v>314</v>
      </c>
      <c r="T5" s="1105" t="s">
        <v>315</v>
      </c>
    </row>
    <row r="6" spans="1:20" s="734" customFormat="1" ht="15" customHeight="1">
      <c r="A6" s="1127"/>
      <c r="B6" s="1128"/>
      <c r="C6" s="735" t="s">
        <v>316</v>
      </c>
      <c r="D6" s="735" t="s">
        <v>317</v>
      </c>
      <c r="E6" s="735" t="s">
        <v>316</v>
      </c>
      <c r="F6" s="735" t="s">
        <v>317</v>
      </c>
      <c r="G6" s="735" t="s">
        <v>316</v>
      </c>
      <c r="H6" s="735" t="s">
        <v>317</v>
      </c>
      <c r="I6" s="735" t="s">
        <v>316</v>
      </c>
      <c r="J6" s="735" t="s">
        <v>317</v>
      </c>
      <c r="K6" s="735" t="s">
        <v>316</v>
      </c>
      <c r="L6" s="735" t="s">
        <v>317</v>
      </c>
      <c r="M6" s="735" t="s">
        <v>316</v>
      </c>
      <c r="N6" s="736" t="s">
        <v>317</v>
      </c>
      <c r="O6" s="1111"/>
      <c r="P6" s="1104"/>
      <c r="Q6" s="1113"/>
      <c r="R6" s="1104"/>
      <c r="S6" s="1104"/>
      <c r="T6" s="1106"/>
    </row>
    <row r="7" spans="1:20" ht="18" customHeight="1">
      <c r="A7" s="1122" t="s">
        <v>318</v>
      </c>
      <c r="B7" s="1123"/>
      <c r="C7" s="737">
        <v>747</v>
      </c>
      <c r="D7" s="737">
        <v>5026</v>
      </c>
      <c r="E7" s="737">
        <v>85</v>
      </c>
      <c r="F7" s="737">
        <v>429</v>
      </c>
      <c r="G7" s="737">
        <v>88</v>
      </c>
      <c r="H7" s="737">
        <v>481</v>
      </c>
      <c r="I7" s="737">
        <v>134</v>
      </c>
      <c r="J7" s="737">
        <v>1294</v>
      </c>
      <c r="K7" s="737">
        <v>46</v>
      </c>
      <c r="L7" s="737">
        <v>299</v>
      </c>
      <c r="M7" s="737">
        <v>394</v>
      </c>
      <c r="N7" s="738">
        <v>2523</v>
      </c>
      <c r="O7" s="1114" t="s">
        <v>318</v>
      </c>
      <c r="P7" s="1115"/>
      <c r="Q7" s="739">
        <v>28434</v>
      </c>
      <c r="R7" s="740">
        <v>28124</v>
      </c>
      <c r="S7" s="740">
        <v>310</v>
      </c>
      <c r="T7" s="741">
        <v>0</v>
      </c>
    </row>
    <row r="8" spans="1:20" ht="18" customHeight="1">
      <c r="A8" s="1122" t="s">
        <v>319</v>
      </c>
      <c r="B8" s="1123"/>
      <c r="C8" s="737">
        <v>721</v>
      </c>
      <c r="D8" s="737">
        <v>4886</v>
      </c>
      <c r="E8" s="737">
        <v>80</v>
      </c>
      <c r="F8" s="737">
        <v>406</v>
      </c>
      <c r="G8" s="737">
        <v>123</v>
      </c>
      <c r="H8" s="737">
        <v>566</v>
      </c>
      <c r="I8" s="737">
        <v>132</v>
      </c>
      <c r="J8" s="737">
        <v>1283</v>
      </c>
      <c r="K8" s="737">
        <v>44</v>
      </c>
      <c r="L8" s="737">
        <v>290</v>
      </c>
      <c r="M8" s="737">
        <v>342</v>
      </c>
      <c r="N8" s="738">
        <v>2336</v>
      </c>
      <c r="O8" s="1116" t="s">
        <v>319</v>
      </c>
      <c r="P8" s="1117"/>
      <c r="Q8" s="739">
        <v>27906</v>
      </c>
      <c r="R8" s="740">
        <v>27609</v>
      </c>
      <c r="S8" s="740">
        <v>297</v>
      </c>
      <c r="T8" s="741"/>
    </row>
    <row r="9" spans="1:20" s="747" customFormat="1" ht="18" customHeight="1">
      <c r="A9" s="1118" t="s">
        <v>393</v>
      </c>
      <c r="B9" s="1119"/>
      <c r="C9" s="742">
        <v>710</v>
      </c>
      <c r="D9" s="742">
        <v>4718</v>
      </c>
      <c r="E9" s="742">
        <v>79</v>
      </c>
      <c r="F9" s="742">
        <v>403</v>
      </c>
      <c r="G9" s="742">
        <v>120</v>
      </c>
      <c r="H9" s="742">
        <v>534</v>
      </c>
      <c r="I9" s="742">
        <v>130</v>
      </c>
      <c r="J9" s="742">
        <v>1251</v>
      </c>
      <c r="K9" s="742">
        <v>44</v>
      </c>
      <c r="L9" s="742">
        <v>290</v>
      </c>
      <c r="M9" s="742">
        <v>337</v>
      </c>
      <c r="N9" s="743">
        <v>2240</v>
      </c>
      <c r="O9" s="1107" t="s">
        <v>393</v>
      </c>
      <c r="P9" s="1108"/>
      <c r="Q9" s="744">
        <v>25003</v>
      </c>
      <c r="R9" s="745">
        <v>24706</v>
      </c>
      <c r="S9" s="745">
        <v>297</v>
      </c>
      <c r="T9" s="746">
        <v>0</v>
      </c>
    </row>
    <row r="10" spans="1:20" ht="18" customHeight="1">
      <c r="A10" s="748" t="s">
        <v>320</v>
      </c>
      <c r="B10" s="749" t="s">
        <v>321</v>
      </c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1"/>
      <c r="O10" s="748" t="s">
        <v>320</v>
      </c>
      <c r="P10" s="749" t="s">
        <v>321</v>
      </c>
      <c r="Q10" s="752"/>
      <c r="R10" s="753"/>
      <c r="S10" s="753"/>
      <c r="T10" s="754"/>
    </row>
    <row r="11" spans="1:20" s="747" customFormat="1" ht="18" customHeight="1">
      <c r="A11" s="755" t="s">
        <v>322</v>
      </c>
      <c r="B11" s="756"/>
      <c r="C11" s="757">
        <f>SUM(C12:C16)</f>
        <v>270</v>
      </c>
      <c r="D11" s="757">
        <f>SUM(D12:D16)</f>
        <v>1763</v>
      </c>
      <c r="E11" s="757">
        <f>SUM(E12:E16)</f>
        <v>20</v>
      </c>
      <c r="F11" s="757">
        <f>SUM(F12:F16)</f>
        <v>122</v>
      </c>
      <c r="G11" s="757">
        <f>SUM(G12:G16)</f>
        <v>56</v>
      </c>
      <c r="H11" s="757">
        <f>SUM(H12:H17)</f>
        <v>263</v>
      </c>
      <c r="I11" s="757">
        <v>37</v>
      </c>
      <c r="J11" s="757">
        <v>373</v>
      </c>
      <c r="K11" s="757">
        <v>12</v>
      </c>
      <c r="L11" s="757">
        <v>77</v>
      </c>
      <c r="M11" s="757">
        <v>145</v>
      </c>
      <c r="N11" s="758">
        <v>928</v>
      </c>
      <c r="O11" s="759" t="s">
        <v>322</v>
      </c>
      <c r="P11" s="760"/>
      <c r="Q11" s="761">
        <v>11730</v>
      </c>
      <c r="R11" s="757">
        <v>11730</v>
      </c>
      <c r="S11" s="757">
        <v>0</v>
      </c>
      <c r="T11" s="758">
        <v>0</v>
      </c>
    </row>
    <row r="12" spans="1:20" ht="18" customHeight="1">
      <c r="A12" s="762"/>
      <c r="B12" s="763" t="s">
        <v>323</v>
      </c>
      <c r="C12" s="740">
        <v>81</v>
      </c>
      <c r="D12" s="740">
        <v>645</v>
      </c>
      <c r="E12" s="764">
        <v>8</v>
      </c>
      <c r="F12" s="764">
        <v>62</v>
      </c>
      <c r="G12" s="764">
        <v>23</v>
      </c>
      <c r="H12" s="764">
        <v>138</v>
      </c>
      <c r="I12" s="764">
        <v>10</v>
      </c>
      <c r="J12" s="764">
        <v>81</v>
      </c>
      <c r="K12" s="764">
        <v>1</v>
      </c>
      <c r="L12" s="764">
        <v>3</v>
      </c>
      <c r="M12" s="764">
        <v>39</v>
      </c>
      <c r="N12" s="765">
        <v>361</v>
      </c>
      <c r="O12" s="762"/>
      <c r="P12" s="763" t="s">
        <v>323</v>
      </c>
      <c r="Q12" s="739">
        <v>0</v>
      </c>
      <c r="R12" s="764">
        <v>0</v>
      </c>
      <c r="S12" s="764">
        <v>0</v>
      </c>
      <c r="T12" s="765">
        <v>0</v>
      </c>
    </row>
    <row r="13" spans="1:20" ht="18" customHeight="1">
      <c r="A13" s="762"/>
      <c r="B13" s="763" t="s">
        <v>324</v>
      </c>
      <c r="C13" s="740">
        <v>50</v>
      </c>
      <c r="D13" s="740">
        <v>396</v>
      </c>
      <c r="E13" s="764">
        <v>3</v>
      </c>
      <c r="F13" s="764">
        <v>9</v>
      </c>
      <c r="G13" s="764">
        <v>11</v>
      </c>
      <c r="H13" s="764">
        <v>50</v>
      </c>
      <c r="I13" s="764">
        <v>12</v>
      </c>
      <c r="J13" s="764">
        <v>154</v>
      </c>
      <c r="K13" s="764">
        <v>4</v>
      </c>
      <c r="L13" s="764">
        <v>29</v>
      </c>
      <c r="M13" s="764">
        <v>20</v>
      </c>
      <c r="N13" s="765">
        <v>154</v>
      </c>
      <c r="O13" s="762"/>
      <c r="P13" s="763" t="s">
        <v>324</v>
      </c>
      <c r="Q13" s="739">
        <v>0</v>
      </c>
      <c r="R13" s="764">
        <v>0</v>
      </c>
      <c r="S13" s="764">
        <v>0</v>
      </c>
      <c r="T13" s="765">
        <v>0</v>
      </c>
    </row>
    <row r="14" spans="1:20" ht="18" customHeight="1">
      <c r="A14" s="762"/>
      <c r="B14" s="763" t="s">
        <v>325</v>
      </c>
      <c r="C14" s="740">
        <v>28</v>
      </c>
      <c r="D14" s="740">
        <v>210</v>
      </c>
      <c r="E14" s="764">
        <v>1</v>
      </c>
      <c r="F14" s="764">
        <v>11</v>
      </c>
      <c r="G14" s="764">
        <v>7</v>
      </c>
      <c r="H14" s="764">
        <v>33</v>
      </c>
      <c r="I14" s="764">
        <v>0</v>
      </c>
      <c r="J14" s="764">
        <v>0</v>
      </c>
      <c r="K14" s="764">
        <v>6</v>
      </c>
      <c r="L14" s="764">
        <v>40</v>
      </c>
      <c r="M14" s="764">
        <v>14</v>
      </c>
      <c r="N14" s="765">
        <v>126</v>
      </c>
      <c r="O14" s="762"/>
      <c r="P14" s="763" t="s">
        <v>325</v>
      </c>
      <c r="Q14" s="739">
        <v>0</v>
      </c>
      <c r="R14" s="764">
        <v>0</v>
      </c>
      <c r="S14" s="764">
        <v>0</v>
      </c>
      <c r="T14" s="765">
        <v>0</v>
      </c>
    </row>
    <row r="15" spans="1:20" ht="18" customHeight="1">
      <c r="A15" s="762"/>
      <c r="B15" s="763" t="s">
        <v>326</v>
      </c>
      <c r="C15" s="740">
        <v>10</v>
      </c>
      <c r="D15" s="740">
        <v>80</v>
      </c>
      <c r="E15" s="764">
        <v>3</v>
      </c>
      <c r="F15" s="764">
        <v>24</v>
      </c>
      <c r="G15" s="764">
        <v>3</v>
      </c>
      <c r="H15" s="764">
        <v>6</v>
      </c>
      <c r="I15" s="764">
        <v>0</v>
      </c>
      <c r="J15" s="764">
        <v>0</v>
      </c>
      <c r="K15" s="764">
        <v>0</v>
      </c>
      <c r="L15" s="764">
        <v>0</v>
      </c>
      <c r="M15" s="764">
        <v>4</v>
      </c>
      <c r="N15" s="765">
        <v>50</v>
      </c>
      <c r="O15" s="762"/>
      <c r="P15" s="763" t="s">
        <v>326</v>
      </c>
      <c r="Q15" s="739">
        <v>0</v>
      </c>
      <c r="R15" s="764">
        <v>0</v>
      </c>
      <c r="S15" s="764">
        <v>0</v>
      </c>
      <c r="T15" s="765">
        <v>0</v>
      </c>
    </row>
    <row r="16" spans="1:20" ht="18" customHeight="1">
      <c r="A16" s="762"/>
      <c r="B16" s="763" t="s">
        <v>180</v>
      </c>
      <c r="C16" s="740">
        <v>101</v>
      </c>
      <c r="D16" s="740">
        <v>432</v>
      </c>
      <c r="E16" s="764">
        <v>5</v>
      </c>
      <c r="F16" s="764">
        <v>16</v>
      </c>
      <c r="G16" s="764">
        <v>12</v>
      </c>
      <c r="H16" s="764">
        <v>36</v>
      </c>
      <c r="I16" s="764">
        <v>15</v>
      </c>
      <c r="J16" s="764">
        <v>138</v>
      </c>
      <c r="K16" s="764">
        <v>1</v>
      </c>
      <c r="L16" s="764">
        <v>5</v>
      </c>
      <c r="M16" s="764">
        <v>68</v>
      </c>
      <c r="N16" s="765">
        <v>237</v>
      </c>
      <c r="O16" s="762"/>
      <c r="P16" s="763" t="s">
        <v>180</v>
      </c>
      <c r="Q16" s="739">
        <v>11730</v>
      </c>
      <c r="R16" s="764">
        <v>11730</v>
      </c>
      <c r="S16" s="764">
        <v>0</v>
      </c>
      <c r="T16" s="765">
        <v>0</v>
      </c>
    </row>
    <row r="17" spans="1:20" ht="12" customHeight="1">
      <c r="A17" s="762"/>
      <c r="B17" s="763"/>
      <c r="C17" s="764"/>
      <c r="D17" s="764"/>
      <c r="E17" s="764"/>
      <c r="F17" s="764"/>
      <c r="G17" s="764"/>
      <c r="H17" s="764"/>
      <c r="I17" s="764"/>
      <c r="J17" s="764"/>
      <c r="K17" s="764"/>
      <c r="L17" s="764"/>
      <c r="M17" s="764"/>
      <c r="N17" s="765"/>
      <c r="O17" s="766"/>
      <c r="P17" s="767"/>
      <c r="Q17" s="768"/>
      <c r="R17" s="769"/>
      <c r="S17" s="769"/>
      <c r="T17" s="770"/>
    </row>
    <row r="18" spans="1:20" s="747" customFormat="1" ht="18" customHeight="1">
      <c r="A18" s="759" t="s">
        <v>327</v>
      </c>
      <c r="B18" s="760"/>
      <c r="C18" s="757">
        <v>230</v>
      </c>
      <c r="D18" s="757">
        <v>1797</v>
      </c>
      <c r="E18" s="757">
        <v>23</v>
      </c>
      <c r="F18" s="757">
        <v>106</v>
      </c>
      <c r="G18" s="757">
        <v>29</v>
      </c>
      <c r="H18" s="757">
        <v>151</v>
      </c>
      <c r="I18" s="757">
        <v>56</v>
      </c>
      <c r="J18" s="757">
        <v>593</v>
      </c>
      <c r="K18" s="757">
        <v>31</v>
      </c>
      <c r="L18" s="757">
        <v>209</v>
      </c>
      <c r="M18" s="757">
        <v>91</v>
      </c>
      <c r="N18" s="758">
        <v>738</v>
      </c>
      <c r="O18" s="759" t="s">
        <v>327</v>
      </c>
      <c r="P18" s="760"/>
      <c r="Q18" s="761">
        <v>12147</v>
      </c>
      <c r="R18" s="757">
        <v>11850</v>
      </c>
      <c r="S18" s="757">
        <v>297</v>
      </c>
      <c r="T18" s="758">
        <v>0</v>
      </c>
    </row>
    <row r="19" spans="1:20" ht="18" customHeight="1">
      <c r="A19" s="762"/>
      <c r="B19" s="763" t="s">
        <v>328</v>
      </c>
      <c r="C19" s="740">
        <f>51+63</f>
        <v>114</v>
      </c>
      <c r="D19" s="740">
        <f>483+256</f>
        <v>739</v>
      </c>
      <c r="E19" s="764">
        <f>4+5</f>
        <v>9</v>
      </c>
      <c r="F19" s="764">
        <f>25+7</f>
        <v>32</v>
      </c>
      <c r="G19" s="764">
        <f>4+14</f>
        <v>18</v>
      </c>
      <c r="H19" s="764">
        <f>35+50</f>
        <v>85</v>
      </c>
      <c r="I19" s="764">
        <v>37</v>
      </c>
      <c r="J19" s="764">
        <v>367</v>
      </c>
      <c r="K19" s="764">
        <v>23</v>
      </c>
      <c r="L19" s="764">
        <v>121</v>
      </c>
      <c r="M19" s="764">
        <v>27</v>
      </c>
      <c r="N19" s="765">
        <f>56+78</f>
        <v>134</v>
      </c>
      <c r="O19" s="762"/>
      <c r="P19" s="763" t="s">
        <v>328</v>
      </c>
      <c r="Q19" s="739">
        <v>8196</v>
      </c>
      <c r="R19" s="764">
        <f>3581+4318</f>
        <v>7899</v>
      </c>
      <c r="S19" s="764">
        <v>297</v>
      </c>
      <c r="T19" s="765">
        <v>0</v>
      </c>
    </row>
    <row r="20" spans="1:20" ht="18" customHeight="1">
      <c r="A20" s="762"/>
      <c r="B20" s="763" t="s">
        <v>181</v>
      </c>
      <c r="C20" s="740">
        <v>78</v>
      </c>
      <c r="D20" s="740">
        <v>789</v>
      </c>
      <c r="E20" s="764">
        <v>4</v>
      </c>
      <c r="F20" s="764">
        <v>31</v>
      </c>
      <c r="G20" s="764">
        <v>6</v>
      </c>
      <c r="H20" s="764">
        <v>42</v>
      </c>
      <c r="I20" s="764">
        <v>13</v>
      </c>
      <c r="J20" s="764">
        <v>163</v>
      </c>
      <c r="K20" s="764">
        <v>8</v>
      </c>
      <c r="L20" s="764">
        <v>88</v>
      </c>
      <c r="M20" s="764">
        <v>47</v>
      </c>
      <c r="N20" s="765">
        <v>465</v>
      </c>
      <c r="O20" s="762"/>
      <c r="P20" s="763" t="s">
        <v>181</v>
      </c>
      <c r="Q20" s="739">
        <v>2059</v>
      </c>
      <c r="R20" s="764">
        <v>2059</v>
      </c>
      <c r="S20" s="764">
        <v>0</v>
      </c>
      <c r="T20" s="765">
        <v>0</v>
      </c>
    </row>
    <row r="21" spans="1:20" ht="18" customHeight="1">
      <c r="A21" s="762"/>
      <c r="B21" s="763" t="s">
        <v>329</v>
      </c>
      <c r="C21" s="740">
        <v>4</v>
      </c>
      <c r="D21" s="740">
        <v>18</v>
      </c>
      <c r="E21" s="764">
        <v>2</v>
      </c>
      <c r="F21" s="764">
        <v>8</v>
      </c>
      <c r="G21" s="764">
        <v>1</v>
      </c>
      <c r="H21" s="764">
        <v>5</v>
      </c>
      <c r="I21" s="764">
        <v>0</v>
      </c>
      <c r="J21" s="764">
        <v>0</v>
      </c>
      <c r="K21" s="764">
        <v>0</v>
      </c>
      <c r="L21" s="764">
        <v>0</v>
      </c>
      <c r="M21" s="764">
        <v>1</v>
      </c>
      <c r="N21" s="765">
        <v>5</v>
      </c>
      <c r="O21" s="762"/>
      <c r="P21" s="763" t="s">
        <v>329</v>
      </c>
      <c r="Q21" s="739">
        <v>0</v>
      </c>
      <c r="R21" s="764">
        <v>0</v>
      </c>
      <c r="S21" s="764">
        <v>0</v>
      </c>
      <c r="T21" s="765">
        <v>0</v>
      </c>
    </row>
    <row r="22" spans="1:20" ht="18" customHeight="1">
      <c r="A22" s="762"/>
      <c r="B22" s="763" t="s">
        <v>330</v>
      </c>
      <c r="C22" s="740">
        <v>8</v>
      </c>
      <c r="D22" s="740">
        <v>45</v>
      </c>
      <c r="E22" s="764">
        <v>4</v>
      </c>
      <c r="F22" s="764">
        <v>15</v>
      </c>
      <c r="G22" s="764">
        <v>1</v>
      </c>
      <c r="H22" s="764">
        <v>5</v>
      </c>
      <c r="I22" s="764">
        <v>0</v>
      </c>
      <c r="J22" s="764">
        <v>0</v>
      </c>
      <c r="K22" s="764">
        <v>0</v>
      </c>
      <c r="L22" s="764">
        <v>0</v>
      </c>
      <c r="M22" s="764">
        <v>3</v>
      </c>
      <c r="N22" s="765">
        <v>25</v>
      </c>
      <c r="O22" s="762"/>
      <c r="P22" s="763" t="s">
        <v>330</v>
      </c>
      <c r="Q22" s="739">
        <v>17</v>
      </c>
      <c r="R22" s="764">
        <v>17</v>
      </c>
      <c r="S22" s="764">
        <v>0</v>
      </c>
      <c r="T22" s="765">
        <v>0</v>
      </c>
    </row>
    <row r="23" spans="1:20" ht="18" customHeight="1">
      <c r="A23" s="762"/>
      <c r="B23" s="763" t="s">
        <v>331</v>
      </c>
      <c r="C23" s="740">
        <v>26</v>
      </c>
      <c r="D23" s="740">
        <v>206</v>
      </c>
      <c r="E23" s="764">
        <v>4</v>
      </c>
      <c r="F23" s="764">
        <v>20</v>
      </c>
      <c r="G23" s="764">
        <v>3</v>
      </c>
      <c r="H23" s="764">
        <v>14</v>
      </c>
      <c r="I23" s="764">
        <v>6</v>
      </c>
      <c r="J23" s="764">
        <v>63</v>
      </c>
      <c r="K23" s="764">
        <v>0</v>
      </c>
      <c r="L23" s="764">
        <v>0</v>
      </c>
      <c r="M23" s="764">
        <v>13</v>
      </c>
      <c r="N23" s="765">
        <v>109</v>
      </c>
      <c r="O23" s="762"/>
      <c r="P23" s="763" t="s">
        <v>331</v>
      </c>
      <c r="Q23" s="739">
        <v>1875</v>
      </c>
      <c r="R23" s="764">
        <v>1875</v>
      </c>
      <c r="S23" s="764">
        <v>0</v>
      </c>
      <c r="T23" s="765">
        <v>0</v>
      </c>
    </row>
    <row r="24" spans="1:20" ht="12" customHeight="1">
      <c r="A24" s="766"/>
      <c r="B24" s="767"/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70"/>
      <c r="O24" s="766"/>
      <c r="P24" s="767"/>
      <c r="Q24" s="768"/>
      <c r="R24" s="769"/>
      <c r="S24" s="769"/>
      <c r="T24" s="770"/>
    </row>
    <row r="25" spans="1:20" s="747" customFormat="1" ht="18" customHeight="1">
      <c r="A25" s="755" t="s">
        <v>332</v>
      </c>
      <c r="B25" s="771"/>
      <c r="C25" s="757">
        <v>210</v>
      </c>
      <c r="D25" s="757">
        <v>1158</v>
      </c>
      <c r="E25" s="757">
        <v>36</v>
      </c>
      <c r="F25" s="757">
        <v>175</v>
      </c>
      <c r="G25" s="757">
        <v>35</v>
      </c>
      <c r="H25" s="757">
        <v>120</v>
      </c>
      <c r="I25" s="757">
        <v>37</v>
      </c>
      <c r="J25" s="757">
        <v>285</v>
      </c>
      <c r="K25" s="757">
        <v>1</v>
      </c>
      <c r="L25" s="757">
        <v>4</v>
      </c>
      <c r="M25" s="757">
        <v>101</v>
      </c>
      <c r="N25" s="758">
        <v>574</v>
      </c>
      <c r="O25" s="759" t="s">
        <v>332</v>
      </c>
      <c r="P25" s="760"/>
      <c r="Q25" s="761">
        <v>1126</v>
      </c>
      <c r="R25" s="757">
        <v>1126</v>
      </c>
      <c r="S25" s="757">
        <v>0</v>
      </c>
      <c r="T25" s="758">
        <v>0</v>
      </c>
    </row>
    <row r="26" spans="1:20" ht="18" customHeight="1">
      <c r="A26" s="762"/>
      <c r="B26" s="763" t="s">
        <v>333</v>
      </c>
      <c r="C26" s="740">
        <v>3</v>
      </c>
      <c r="D26" s="740">
        <v>10</v>
      </c>
      <c r="E26" s="764">
        <v>0</v>
      </c>
      <c r="F26" s="764">
        <v>0</v>
      </c>
      <c r="G26" s="764">
        <v>1</v>
      </c>
      <c r="H26" s="764">
        <v>4</v>
      </c>
      <c r="I26" s="764">
        <v>1</v>
      </c>
      <c r="J26" s="764">
        <v>4</v>
      </c>
      <c r="K26" s="764">
        <v>0</v>
      </c>
      <c r="L26" s="764">
        <v>0</v>
      </c>
      <c r="M26" s="764">
        <v>1</v>
      </c>
      <c r="N26" s="765">
        <v>2</v>
      </c>
      <c r="O26" s="762"/>
      <c r="P26" s="763" t="s">
        <v>333</v>
      </c>
      <c r="Q26" s="739">
        <v>0</v>
      </c>
      <c r="R26" s="764">
        <v>0</v>
      </c>
      <c r="S26" s="764">
        <v>0</v>
      </c>
      <c r="T26" s="765">
        <v>0</v>
      </c>
    </row>
    <row r="27" spans="1:20" ht="18" customHeight="1">
      <c r="A27" s="762"/>
      <c r="B27" s="763" t="s">
        <v>334</v>
      </c>
      <c r="C27" s="740">
        <v>8</v>
      </c>
      <c r="D27" s="740">
        <v>48</v>
      </c>
      <c r="E27" s="764">
        <v>1</v>
      </c>
      <c r="F27" s="764">
        <v>3</v>
      </c>
      <c r="G27" s="764">
        <v>1</v>
      </c>
      <c r="H27" s="764">
        <v>4</v>
      </c>
      <c r="I27" s="764">
        <v>0</v>
      </c>
      <c r="J27" s="764">
        <v>0</v>
      </c>
      <c r="K27" s="764">
        <v>0</v>
      </c>
      <c r="L27" s="764">
        <v>0</v>
      </c>
      <c r="M27" s="764">
        <v>6</v>
      </c>
      <c r="N27" s="765">
        <v>41</v>
      </c>
      <c r="O27" s="762"/>
      <c r="P27" s="763" t="s">
        <v>334</v>
      </c>
      <c r="Q27" s="739">
        <v>0</v>
      </c>
      <c r="R27" s="764">
        <v>0</v>
      </c>
      <c r="S27" s="764">
        <v>0</v>
      </c>
      <c r="T27" s="765">
        <v>0</v>
      </c>
    </row>
    <row r="28" spans="1:20" ht="18" customHeight="1">
      <c r="A28" s="762"/>
      <c r="B28" s="763" t="s">
        <v>335</v>
      </c>
      <c r="C28" s="740">
        <v>19</v>
      </c>
      <c r="D28" s="740">
        <v>117</v>
      </c>
      <c r="E28" s="764">
        <v>5</v>
      </c>
      <c r="F28" s="764">
        <v>27</v>
      </c>
      <c r="G28" s="764">
        <v>2</v>
      </c>
      <c r="H28" s="764">
        <v>12</v>
      </c>
      <c r="I28" s="764">
        <v>5</v>
      </c>
      <c r="J28" s="764">
        <v>27</v>
      </c>
      <c r="K28" s="764">
        <v>0</v>
      </c>
      <c r="L28" s="764">
        <v>0</v>
      </c>
      <c r="M28" s="764">
        <v>7</v>
      </c>
      <c r="N28" s="765">
        <v>51</v>
      </c>
      <c r="O28" s="762"/>
      <c r="P28" s="763" t="s">
        <v>335</v>
      </c>
      <c r="Q28" s="739">
        <v>0</v>
      </c>
      <c r="R28" s="764">
        <v>0</v>
      </c>
      <c r="S28" s="764">
        <v>0</v>
      </c>
      <c r="T28" s="765">
        <v>0</v>
      </c>
    </row>
    <row r="29" spans="1:20" ht="18" customHeight="1">
      <c r="A29" s="762"/>
      <c r="B29" s="763" t="s">
        <v>336</v>
      </c>
      <c r="C29" s="740">
        <v>7</v>
      </c>
      <c r="D29" s="740">
        <v>29</v>
      </c>
      <c r="E29" s="764">
        <v>1</v>
      </c>
      <c r="F29" s="764">
        <v>4</v>
      </c>
      <c r="G29" s="764">
        <v>0</v>
      </c>
      <c r="H29" s="764">
        <v>0</v>
      </c>
      <c r="I29" s="764">
        <v>0</v>
      </c>
      <c r="J29" s="764">
        <v>0</v>
      </c>
      <c r="K29" s="764">
        <v>0</v>
      </c>
      <c r="L29" s="764">
        <v>0</v>
      </c>
      <c r="M29" s="764">
        <v>6</v>
      </c>
      <c r="N29" s="765">
        <v>25</v>
      </c>
      <c r="O29" s="762"/>
      <c r="P29" s="763" t="s">
        <v>336</v>
      </c>
      <c r="Q29" s="739">
        <v>0</v>
      </c>
      <c r="R29" s="764">
        <v>0</v>
      </c>
      <c r="S29" s="764">
        <v>0</v>
      </c>
      <c r="T29" s="765">
        <v>0</v>
      </c>
    </row>
    <row r="30" spans="1:20" ht="18" customHeight="1">
      <c r="A30" s="762"/>
      <c r="B30" s="763" t="s">
        <v>337</v>
      </c>
      <c r="C30" s="740">
        <v>6</v>
      </c>
      <c r="D30" s="740">
        <v>45</v>
      </c>
      <c r="E30" s="764">
        <v>0</v>
      </c>
      <c r="F30" s="764">
        <v>0</v>
      </c>
      <c r="G30" s="764">
        <v>0</v>
      </c>
      <c r="H30" s="764">
        <v>0</v>
      </c>
      <c r="I30" s="764">
        <v>0</v>
      </c>
      <c r="J30" s="764">
        <v>0</v>
      </c>
      <c r="K30" s="764">
        <v>0</v>
      </c>
      <c r="L30" s="764">
        <v>0</v>
      </c>
      <c r="M30" s="764">
        <v>6</v>
      </c>
      <c r="N30" s="765">
        <v>45</v>
      </c>
      <c r="O30" s="762"/>
      <c r="P30" s="763" t="s">
        <v>338</v>
      </c>
      <c r="Q30" s="739">
        <v>0</v>
      </c>
      <c r="R30" s="764">
        <v>0</v>
      </c>
      <c r="S30" s="764">
        <v>0</v>
      </c>
      <c r="T30" s="765">
        <v>0</v>
      </c>
    </row>
    <row r="31" spans="1:20" ht="18" customHeight="1">
      <c r="A31" s="762"/>
      <c r="B31" s="763" t="s">
        <v>339</v>
      </c>
      <c r="C31" s="740">
        <v>11</v>
      </c>
      <c r="D31" s="740">
        <v>59</v>
      </c>
      <c r="E31" s="764">
        <v>0</v>
      </c>
      <c r="F31" s="764">
        <v>0</v>
      </c>
      <c r="G31" s="764">
        <v>4</v>
      </c>
      <c r="H31" s="764">
        <v>21</v>
      </c>
      <c r="I31" s="764">
        <v>3</v>
      </c>
      <c r="J31" s="764">
        <v>14</v>
      </c>
      <c r="K31" s="764">
        <v>0</v>
      </c>
      <c r="L31" s="764">
        <v>0</v>
      </c>
      <c r="M31" s="764">
        <v>4</v>
      </c>
      <c r="N31" s="765">
        <v>24</v>
      </c>
      <c r="O31" s="762"/>
      <c r="P31" s="763" t="s">
        <v>339</v>
      </c>
      <c r="Q31" s="739">
        <v>0</v>
      </c>
      <c r="R31" s="764">
        <v>0</v>
      </c>
      <c r="S31" s="764">
        <v>0</v>
      </c>
      <c r="T31" s="765">
        <v>0</v>
      </c>
    </row>
    <row r="32" spans="1:20" ht="18" customHeight="1">
      <c r="A32" s="762"/>
      <c r="B32" s="763" t="s">
        <v>340</v>
      </c>
      <c r="C32" s="740">
        <v>7</v>
      </c>
      <c r="D32" s="740">
        <v>29</v>
      </c>
      <c r="E32" s="764">
        <v>0</v>
      </c>
      <c r="F32" s="764">
        <v>0</v>
      </c>
      <c r="G32" s="764">
        <v>1</v>
      </c>
      <c r="H32" s="764">
        <v>1</v>
      </c>
      <c r="I32" s="764">
        <v>3</v>
      </c>
      <c r="J32" s="764">
        <v>20</v>
      </c>
      <c r="K32" s="764">
        <v>0</v>
      </c>
      <c r="L32" s="764">
        <v>0</v>
      </c>
      <c r="M32" s="764">
        <v>3</v>
      </c>
      <c r="N32" s="765">
        <v>8</v>
      </c>
      <c r="O32" s="762"/>
      <c r="P32" s="763" t="s">
        <v>340</v>
      </c>
      <c r="Q32" s="739">
        <v>0</v>
      </c>
      <c r="R32" s="764">
        <v>0</v>
      </c>
      <c r="S32" s="764">
        <v>0</v>
      </c>
      <c r="T32" s="765">
        <v>0</v>
      </c>
    </row>
    <row r="33" spans="1:20" ht="18" customHeight="1">
      <c r="A33" s="762"/>
      <c r="B33" s="763" t="s">
        <v>341</v>
      </c>
      <c r="C33" s="740">
        <v>40</v>
      </c>
      <c r="D33" s="740">
        <v>237</v>
      </c>
      <c r="E33" s="764">
        <v>13</v>
      </c>
      <c r="F33" s="764">
        <v>60</v>
      </c>
      <c r="G33" s="764">
        <v>2</v>
      </c>
      <c r="H33" s="764">
        <v>7</v>
      </c>
      <c r="I33" s="764">
        <v>4</v>
      </c>
      <c r="J33" s="764">
        <v>21</v>
      </c>
      <c r="K33" s="764">
        <v>0</v>
      </c>
      <c r="L33" s="764">
        <v>0</v>
      </c>
      <c r="M33" s="764">
        <v>21</v>
      </c>
      <c r="N33" s="765">
        <v>149</v>
      </c>
      <c r="O33" s="762"/>
      <c r="P33" s="763" t="s">
        <v>341</v>
      </c>
      <c r="Q33" s="739">
        <v>0</v>
      </c>
      <c r="R33" s="764">
        <v>0</v>
      </c>
      <c r="S33" s="764">
        <v>0</v>
      </c>
      <c r="T33" s="765">
        <v>0</v>
      </c>
    </row>
    <row r="34" spans="1:20" ht="18" customHeight="1">
      <c r="A34" s="762"/>
      <c r="B34" s="763" t="s">
        <v>342</v>
      </c>
      <c r="C34" s="740">
        <v>15</v>
      </c>
      <c r="D34" s="740">
        <v>97</v>
      </c>
      <c r="E34" s="764">
        <v>2</v>
      </c>
      <c r="F34" s="764">
        <v>7</v>
      </c>
      <c r="G34" s="764">
        <v>1</v>
      </c>
      <c r="H34" s="764">
        <v>15</v>
      </c>
      <c r="I34" s="764">
        <v>4</v>
      </c>
      <c r="J34" s="764">
        <v>29</v>
      </c>
      <c r="K34" s="764">
        <v>1</v>
      </c>
      <c r="L34" s="764">
        <v>4</v>
      </c>
      <c r="M34" s="764">
        <v>7</v>
      </c>
      <c r="N34" s="765">
        <v>42</v>
      </c>
      <c r="O34" s="762"/>
      <c r="P34" s="763" t="s">
        <v>342</v>
      </c>
      <c r="Q34" s="739">
        <v>1126</v>
      </c>
      <c r="R34" s="764">
        <v>1126</v>
      </c>
      <c r="S34" s="764">
        <v>0</v>
      </c>
      <c r="T34" s="765">
        <v>0</v>
      </c>
    </row>
    <row r="35" spans="1:20" ht="18" customHeight="1">
      <c r="A35" s="772"/>
      <c r="B35" s="763" t="s">
        <v>343</v>
      </c>
      <c r="C35" s="740">
        <v>64</v>
      </c>
      <c r="D35" s="740">
        <v>304</v>
      </c>
      <c r="E35" s="764">
        <v>9</v>
      </c>
      <c r="F35" s="764">
        <v>50</v>
      </c>
      <c r="G35" s="764">
        <v>21</v>
      </c>
      <c r="H35" s="764">
        <v>46</v>
      </c>
      <c r="I35" s="764">
        <v>11</v>
      </c>
      <c r="J35" s="764">
        <v>94</v>
      </c>
      <c r="K35" s="764">
        <v>0</v>
      </c>
      <c r="L35" s="764">
        <v>0</v>
      </c>
      <c r="M35" s="764">
        <v>23</v>
      </c>
      <c r="N35" s="765">
        <v>114</v>
      </c>
      <c r="O35" s="772"/>
      <c r="P35" s="763" t="s">
        <v>343</v>
      </c>
      <c r="Q35" s="739">
        <v>0</v>
      </c>
      <c r="R35" s="764">
        <v>0</v>
      </c>
      <c r="S35" s="764">
        <v>0</v>
      </c>
      <c r="T35" s="765">
        <v>0</v>
      </c>
    </row>
    <row r="36" spans="1:20" ht="18" customHeight="1">
      <c r="A36" s="772"/>
      <c r="B36" s="763" t="s">
        <v>178</v>
      </c>
      <c r="C36" s="740">
        <v>8</v>
      </c>
      <c r="D36" s="740">
        <v>95</v>
      </c>
      <c r="E36" s="764">
        <v>1</v>
      </c>
      <c r="F36" s="764">
        <v>9</v>
      </c>
      <c r="G36" s="764">
        <v>0</v>
      </c>
      <c r="H36" s="764">
        <v>0</v>
      </c>
      <c r="I36" s="764">
        <v>6</v>
      </c>
      <c r="J36" s="764">
        <v>76</v>
      </c>
      <c r="K36" s="764">
        <v>0</v>
      </c>
      <c r="L36" s="764">
        <v>0</v>
      </c>
      <c r="M36" s="764">
        <v>1</v>
      </c>
      <c r="N36" s="765">
        <v>10</v>
      </c>
      <c r="O36" s="772"/>
      <c r="P36" s="763" t="s">
        <v>178</v>
      </c>
      <c r="Q36" s="739">
        <v>0</v>
      </c>
      <c r="R36" s="764">
        <v>0</v>
      </c>
      <c r="S36" s="764">
        <v>0</v>
      </c>
      <c r="T36" s="765">
        <v>0</v>
      </c>
    </row>
    <row r="37" spans="1:20" ht="18" customHeight="1">
      <c r="A37" s="772"/>
      <c r="B37" s="763" t="s">
        <v>344</v>
      </c>
      <c r="C37" s="740">
        <v>19</v>
      </c>
      <c r="D37" s="740">
        <v>76</v>
      </c>
      <c r="E37" s="764">
        <v>4</v>
      </c>
      <c r="F37" s="764">
        <v>15</v>
      </c>
      <c r="G37" s="764">
        <v>2</v>
      </c>
      <c r="H37" s="764">
        <v>10</v>
      </c>
      <c r="I37" s="764">
        <v>0</v>
      </c>
      <c r="J37" s="764">
        <v>0</v>
      </c>
      <c r="K37" s="764">
        <v>0</v>
      </c>
      <c r="L37" s="764">
        <v>0</v>
      </c>
      <c r="M37" s="764">
        <v>13</v>
      </c>
      <c r="N37" s="765">
        <v>51</v>
      </c>
      <c r="O37" s="772"/>
      <c r="P37" s="763" t="s">
        <v>344</v>
      </c>
      <c r="Q37" s="739">
        <v>0</v>
      </c>
      <c r="R37" s="764">
        <v>0</v>
      </c>
      <c r="S37" s="764">
        <v>0</v>
      </c>
      <c r="T37" s="765">
        <v>0</v>
      </c>
    </row>
    <row r="38" spans="1:20" ht="18" customHeight="1">
      <c r="A38" s="762"/>
      <c r="B38" s="763" t="s">
        <v>345</v>
      </c>
      <c r="C38" s="740">
        <v>3</v>
      </c>
      <c r="D38" s="740">
        <v>12</v>
      </c>
      <c r="E38" s="764">
        <v>0</v>
      </c>
      <c r="F38" s="764">
        <v>0</v>
      </c>
      <c r="G38" s="764">
        <v>0</v>
      </c>
      <c r="H38" s="764">
        <v>0</v>
      </c>
      <c r="I38" s="764">
        <v>0</v>
      </c>
      <c r="J38" s="764">
        <v>0</v>
      </c>
      <c r="K38" s="764">
        <v>0</v>
      </c>
      <c r="L38" s="764">
        <v>0</v>
      </c>
      <c r="M38" s="764">
        <v>3</v>
      </c>
      <c r="N38" s="765">
        <v>12</v>
      </c>
      <c r="O38" s="762"/>
      <c r="P38" s="763" t="s">
        <v>345</v>
      </c>
      <c r="Q38" s="739">
        <v>0</v>
      </c>
      <c r="R38" s="764">
        <v>0</v>
      </c>
      <c r="S38" s="764">
        <v>0</v>
      </c>
      <c r="T38" s="765">
        <v>0</v>
      </c>
    </row>
    <row r="39" spans="1:20" ht="12" customHeight="1" thickBot="1">
      <c r="A39" s="773"/>
      <c r="B39" s="774"/>
      <c r="C39" s="774"/>
      <c r="D39" s="774"/>
      <c r="E39" s="774"/>
      <c r="F39" s="774"/>
      <c r="G39" s="774"/>
      <c r="H39" s="774"/>
      <c r="I39" s="774"/>
      <c r="J39" s="774"/>
      <c r="K39" s="774"/>
      <c r="L39" s="774"/>
      <c r="M39" s="774"/>
      <c r="N39" s="775"/>
      <c r="O39" s="773"/>
      <c r="P39" s="774"/>
      <c r="Q39" s="776"/>
      <c r="R39" s="777"/>
      <c r="S39" s="777"/>
      <c r="T39" s="778"/>
    </row>
  </sheetData>
  <sheetProtection/>
  <mergeCells count="18">
    <mergeCell ref="A9:B9"/>
    <mergeCell ref="I5:J5"/>
    <mergeCell ref="K5:L5"/>
    <mergeCell ref="A8:B8"/>
    <mergeCell ref="A7:B7"/>
    <mergeCell ref="M5:N5"/>
    <mergeCell ref="A5:B6"/>
    <mergeCell ref="C5:D5"/>
    <mergeCell ref="E5:F5"/>
    <mergeCell ref="G5:H5"/>
    <mergeCell ref="S5:S6"/>
    <mergeCell ref="T5:T6"/>
    <mergeCell ref="O9:P9"/>
    <mergeCell ref="O5:P6"/>
    <mergeCell ref="Q5:Q6"/>
    <mergeCell ref="R5:R6"/>
    <mergeCell ref="O7:P7"/>
    <mergeCell ref="O8:P8"/>
  </mergeCells>
  <printOptions horizontalCentered="1"/>
  <pageMargins left="0.7874015748031497" right="0.5905511811023623" top="0.7874015748031497" bottom="0.3937007874015748" header="0" footer="0"/>
  <pageSetup horizontalDpi="600" verticalDpi="600" orientation="portrait" paperSize="9" scale="79" r:id="rId1"/>
  <colBreaks count="1" manualBreakCount="1">
    <brk id="14" max="3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F13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2" width="13.375" style="780" customWidth="1"/>
    <col min="3" max="4" width="20.625" style="780" customWidth="1"/>
    <col min="5" max="6" width="13.125" style="780" customWidth="1"/>
    <col min="7" max="16384" width="9.00390625" style="780" customWidth="1"/>
  </cols>
  <sheetData>
    <row r="1" ht="17.25">
      <c r="A1" s="779" t="s">
        <v>346</v>
      </c>
    </row>
    <row r="2" s="781" customFormat="1" ht="19.5" customHeight="1" thickBot="1">
      <c r="F2" s="782" t="s">
        <v>17</v>
      </c>
    </row>
    <row r="3" spans="1:6" s="781" customFormat="1" ht="27" customHeight="1">
      <c r="A3" s="1133" t="s">
        <v>320</v>
      </c>
      <c r="B3" s="1135" t="s">
        <v>321</v>
      </c>
      <c r="C3" s="1137" t="s">
        <v>347</v>
      </c>
      <c r="D3" s="1137"/>
      <c r="E3" s="1135" t="s">
        <v>348</v>
      </c>
      <c r="F3" s="1131" t="s">
        <v>349</v>
      </c>
    </row>
    <row r="4" spans="1:6" s="781" customFormat="1" ht="27" customHeight="1">
      <c r="A4" s="1134"/>
      <c r="B4" s="1136"/>
      <c r="C4" s="783" t="s">
        <v>350</v>
      </c>
      <c r="D4" s="783" t="s">
        <v>351</v>
      </c>
      <c r="E4" s="1136"/>
      <c r="F4" s="1132"/>
    </row>
    <row r="5" spans="1:6" s="781" customFormat="1" ht="27" customHeight="1">
      <c r="A5" s="784" t="s">
        <v>322</v>
      </c>
      <c r="B5" s="785" t="s">
        <v>323</v>
      </c>
      <c r="C5" s="786" t="s">
        <v>352</v>
      </c>
      <c r="D5" s="787" t="s">
        <v>353</v>
      </c>
      <c r="E5" s="788">
        <v>77</v>
      </c>
      <c r="F5" s="789">
        <v>90.85</v>
      </c>
    </row>
    <row r="6" spans="1:6" s="781" customFormat="1" ht="27" customHeight="1">
      <c r="A6" s="784" t="s">
        <v>363</v>
      </c>
      <c r="B6" s="785" t="s">
        <v>324</v>
      </c>
      <c r="C6" s="786" t="s">
        <v>354</v>
      </c>
      <c r="D6" s="787" t="s">
        <v>355</v>
      </c>
      <c r="E6" s="788">
        <v>50</v>
      </c>
      <c r="F6" s="790">
        <v>30.35</v>
      </c>
    </row>
    <row r="7" spans="1:6" s="781" customFormat="1" ht="27" customHeight="1">
      <c r="A7" s="784" t="s">
        <v>363</v>
      </c>
      <c r="B7" s="785" t="s">
        <v>180</v>
      </c>
      <c r="C7" s="786" t="s">
        <v>356</v>
      </c>
      <c r="D7" s="787" t="s">
        <v>357</v>
      </c>
      <c r="E7" s="791">
        <v>76.11</v>
      </c>
      <c r="F7" s="790">
        <v>87.01</v>
      </c>
    </row>
    <row r="8" spans="1:6" s="781" customFormat="1" ht="27" customHeight="1">
      <c r="A8" s="784" t="s">
        <v>358</v>
      </c>
      <c r="B8" s="785" t="s">
        <v>359</v>
      </c>
      <c r="C8" s="786" t="s">
        <v>360</v>
      </c>
      <c r="D8" s="787" t="s">
        <v>394</v>
      </c>
      <c r="E8" s="788">
        <v>78</v>
      </c>
      <c r="F8" s="1129">
        <v>90.43</v>
      </c>
    </row>
    <row r="9" spans="1:6" s="781" customFormat="1" ht="27" customHeight="1">
      <c r="A9" s="784" t="s">
        <v>363</v>
      </c>
      <c r="B9" s="785" t="s">
        <v>363</v>
      </c>
      <c r="C9" s="786" t="s">
        <v>361</v>
      </c>
      <c r="D9" s="787" t="s">
        <v>395</v>
      </c>
      <c r="E9" s="788">
        <v>81</v>
      </c>
      <c r="F9" s="1130"/>
    </row>
    <row r="10" spans="1:6" s="781" customFormat="1" ht="27" customHeight="1" thickBot="1">
      <c r="A10" s="792" t="s">
        <v>362</v>
      </c>
      <c r="B10" s="793"/>
      <c r="C10" s="794"/>
      <c r="D10" s="793"/>
      <c r="E10" s="793"/>
      <c r="F10" s="795">
        <f>SUM(F5:F9)</f>
        <v>298.64</v>
      </c>
    </row>
    <row r="11" spans="1:6" s="796" customFormat="1" ht="27" customHeight="1">
      <c r="A11" s="780"/>
      <c r="B11" s="780"/>
      <c r="C11" s="780"/>
      <c r="D11" s="780"/>
      <c r="E11" s="780"/>
      <c r="F11" s="780"/>
    </row>
    <row r="13" ht="12">
      <c r="B13" s="780" t="s">
        <v>364</v>
      </c>
    </row>
  </sheetData>
  <sheetProtection/>
  <mergeCells count="6">
    <mergeCell ref="F8:F9"/>
    <mergeCell ref="F3:F4"/>
    <mergeCell ref="A3:A4"/>
    <mergeCell ref="B3:B4"/>
    <mergeCell ref="C3:D3"/>
    <mergeCell ref="E3:E4"/>
  </mergeCells>
  <printOptions horizontalCentered="1"/>
  <pageMargins left="0.7874015748031497" right="0.5905511811023623" top="0.7874015748031497" bottom="0.3937007874015748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8"/>
  <sheetViews>
    <sheetView view="pageBreakPreview" zoomScaleSheetLayoutView="100" zoomScalePageLayoutView="0" workbookViewId="0" topLeftCell="A4">
      <selection activeCell="D40" sqref="D40"/>
    </sheetView>
  </sheetViews>
  <sheetFormatPr defaultColWidth="10.75390625" defaultRowHeight="13.5"/>
  <cols>
    <col min="1" max="1" width="3.125" style="39" customWidth="1"/>
    <col min="2" max="2" width="9.75390625" style="39" customWidth="1"/>
    <col min="3" max="3" width="10.75390625" style="39" customWidth="1"/>
    <col min="4" max="4" width="13.375" style="39" customWidth="1"/>
    <col min="5" max="5" width="10.75390625" style="39" customWidth="1"/>
    <col min="6" max="6" width="13.375" style="39" customWidth="1"/>
    <col min="7" max="7" width="10.75390625" style="39" customWidth="1"/>
    <col min="8" max="8" width="13.375" style="39" customWidth="1"/>
    <col min="9" max="16384" width="10.75390625" style="39" customWidth="1"/>
  </cols>
  <sheetData>
    <row r="1" ht="14.25" customHeight="1">
      <c r="A1" s="38" t="s">
        <v>48</v>
      </c>
    </row>
    <row r="2" spans="3:8" s="17" customFormat="1" ht="15" thickBot="1">
      <c r="C2" s="7"/>
      <c r="D2" s="7"/>
      <c r="E2" s="7"/>
      <c r="F2" s="7"/>
      <c r="G2" s="7"/>
      <c r="H2" s="8" t="s">
        <v>64</v>
      </c>
    </row>
    <row r="3" spans="1:8" s="17" customFormat="1" ht="21.75" customHeight="1">
      <c r="A3" s="898" t="s">
        <v>49</v>
      </c>
      <c r="B3" s="899"/>
      <c r="C3" s="892" t="s">
        <v>235</v>
      </c>
      <c r="D3" s="892"/>
      <c r="E3" s="892" t="s">
        <v>236</v>
      </c>
      <c r="F3" s="892"/>
      <c r="G3" s="892" t="s">
        <v>237</v>
      </c>
      <c r="H3" s="893"/>
    </row>
    <row r="4" spans="1:9" s="17" customFormat="1" ht="21.75" customHeight="1">
      <c r="A4" s="900"/>
      <c r="B4" s="901"/>
      <c r="C4" s="40" t="s">
        <v>50</v>
      </c>
      <c r="D4" s="41" t="s">
        <v>51</v>
      </c>
      <c r="E4" s="40" t="s">
        <v>50</v>
      </c>
      <c r="F4" s="41" t="s">
        <v>51</v>
      </c>
      <c r="G4" s="40" t="s">
        <v>50</v>
      </c>
      <c r="H4" s="42" t="s">
        <v>51</v>
      </c>
      <c r="I4" s="43"/>
    </row>
    <row r="5" spans="1:9" s="17" customFormat="1" ht="21.75" customHeight="1">
      <c r="A5" s="894" t="s">
        <v>65</v>
      </c>
      <c r="B5" s="895"/>
      <c r="C5" s="44">
        <f>E5+G5</f>
        <v>425054.1699999999</v>
      </c>
      <c r="D5" s="45">
        <f>F5+H5</f>
        <v>86450563</v>
      </c>
      <c r="E5" s="44">
        <f>E7+E14+E16+E17+E18+E19</f>
        <v>196821.00999999998</v>
      </c>
      <c r="F5" s="45">
        <f>F7+F14+F16+F17+F18+F19</f>
        <v>25071025</v>
      </c>
      <c r="G5" s="44">
        <f>G7+G14+G16+G17+G18</f>
        <v>228233.15999999997</v>
      </c>
      <c r="H5" s="46">
        <f>H7+H14+H16+H17+H18</f>
        <v>61379538</v>
      </c>
      <c r="I5" s="43"/>
    </row>
    <row r="6" spans="1:9" s="17" customFormat="1" ht="21.75" customHeight="1">
      <c r="A6" s="47"/>
      <c r="B6" s="48"/>
      <c r="C6" s="49"/>
      <c r="D6" s="50"/>
      <c r="E6" s="49"/>
      <c r="F6" s="50"/>
      <c r="G6" s="49"/>
      <c r="H6" s="51"/>
      <c r="I6" s="43"/>
    </row>
    <row r="7" spans="1:9" s="17" customFormat="1" ht="21.75" customHeight="1">
      <c r="A7" s="896" t="s">
        <v>66</v>
      </c>
      <c r="B7" s="897"/>
      <c r="C7" s="54">
        <f aca="true" t="shared" si="0" ref="C7:D12">E7+G7</f>
        <v>196435.1</v>
      </c>
      <c r="D7" s="55">
        <f t="shared" si="0"/>
        <v>60804235</v>
      </c>
      <c r="E7" s="54">
        <f>SUM(E8:E12)</f>
        <v>78980.05</v>
      </c>
      <c r="F7" s="55">
        <f>SUM(F8:F12)</f>
        <v>13471828</v>
      </c>
      <c r="G7" s="54">
        <f>SUM(G8:G12)</f>
        <v>117455.05</v>
      </c>
      <c r="H7" s="56">
        <f>SUM(H8:H12)</f>
        <v>47332407</v>
      </c>
      <c r="I7" s="43"/>
    </row>
    <row r="8" spans="1:9" s="17" customFormat="1" ht="21.75" customHeight="1">
      <c r="A8" s="57"/>
      <c r="B8" s="58" t="s">
        <v>52</v>
      </c>
      <c r="C8" s="59">
        <f t="shared" si="0"/>
        <v>79324.63</v>
      </c>
      <c r="D8" s="60">
        <f t="shared" si="0"/>
        <v>36737100</v>
      </c>
      <c r="E8" s="545">
        <v>17464.63</v>
      </c>
      <c r="F8" s="546">
        <f>3781890-143</f>
        <v>3781747</v>
      </c>
      <c r="G8" s="545">
        <v>61860</v>
      </c>
      <c r="H8" s="547">
        <v>32955353</v>
      </c>
      <c r="I8" s="43"/>
    </row>
    <row r="9" spans="1:9" s="17" customFormat="1" ht="21.75" customHeight="1">
      <c r="A9" s="57"/>
      <c r="B9" s="58" t="s">
        <v>53</v>
      </c>
      <c r="C9" s="59">
        <f t="shared" si="0"/>
        <v>24134.059999999998</v>
      </c>
      <c r="D9" s="60">
        <f t="shared" si="0"/>
        <v>4110801</v>
      </c>
      <c r="E9" s="545">
        <v>8245.84</v>
      </c>
      <c r="F9" s="546">
        <f>1044606-15</f>
        <v>1044591</v>
      </c>
      <c r="G9" s="545">
        <v>15888.22</v>
      </c>
      <c r="H9" s="547">
        <v>3066210</v>
      </c>
      <c r="I9" s="43"/>
    </row>
    <row r="10" spans="1:9" s="17" customFormat="1" ht="21.75" customHeight="1">
      <c r="A10" s="57"/>
      <c r="B10" s="58" t="s">
        <v>54</v>
      </c>
      <c r="C10" s="59">
        <f t="shared" si="0"/>
        <v>22229.45</v>
      </c>
      <c r="D10" s="60">
        <f t="shared" si="0"/>
        <v>5826588</v>
      </c>
      <c r="E10" s="545">
        <v>9176.68</v>
      </c>
      <c r="F10" s="546">
        <v>1450512</v>
      </c>
      <c r="G10" s="545">
        <v>13052.77</v>
      </c>
      <c r="H10" s="547">
        <v>4376076</v>
      </c>
      <c r="I10" s="43"/>
    </row>
    <row r="11" spans="1:9" s="17" customFormat="1" ht="21.75" customHeight="1">
      <c r="A11" s="57"/>
      <c r="B11" s="58" t="s">
        <v>55</v>
      </c>
      <c r="C11" s="59">
        <f t="shared" si="0"/>
        <v>46319.03</v>
      </c>
      <c r="D11" s="60">
        <f t="shared" si="0"/>
        <v>10460045</v>
      </c>
      <c r="E11" s="545">
        <v>29088.97</v>
      </c>
      <c r="F11" s="546">
        <f>5073725-2010</f>
        <v>5071715</v>
      </c>
      <c r="G11" s="545">
        <v>17230.06</v>
      </c>
      <c r="H11" s="547">
        <v>5388330</v>
      </c>
      <c r="I11" s="43"/>
    </row>
    <row r="12" spans="1:9" s="17" customFormat="1" ht="21.75" customHeight="1">
      <c r="A12" s="57"/>
      <c r="B12" s="58" t="s">
        <v>7</v>
      </c>
      <c r="C12" s="59">
        <f t="shared" si="0"/>
        <v>24427.93</v>
      </c>
      <c r="D12" s="60">
        <f t="shared" si="0"/>
        <v>3669701</v>
      </c>
      <c r="E12" s="545">
        <v>15003.93</v>
      </c>
      <c r="F12" s="546">
        <v>2123263</v>
      </c>
      <c r="G12" s="545">
        <v>9424</v>
      </c>
      <c r="H12" s="547">
        <v>1546438</v>
      </c>
      <c r="I12" s="43"/>
    </row>
    <row r="13" spans="1:9" s="17" customFormat="1" ht="21.75" customHeight="1">
      <c r="A13" s="61"/>
      <c r="B13" s="48"/>
      <c r="C13" s="62"/>
      <c r="D13" s="63"/>
      <c r="E13" s="49"/>
      <c r="F13" s="50"/>
      <c r="G13" s="49"/>
      <c r="H13" s="51"/>
      <c r="I13" s="43"/>
    </row>
    <row r="14" spans="1:9" s="17" customFormat="1" ht="21.75" customHeight="1">
      <c r="A14" s="896" t="s">
        <v>238</v>
      </c>
      <c r="B14" s="897"/>
      <c r="C14" s="54">
        <f>E14+G14</f>
        <v>200536</v>
      </c>
      <c r="D14" s="55">
        <f>F14+H14</f>
        <v>25627342</v>
      </c>
      <c r="E14" s="64">
        <v>97105</v>
      </c>
      <c r="F14" s="548">
        <f>11592122-140-9701-2070</f>
        <v>11580211</v>
      </c>
      <c r="G14" s="64">
        <v>103431</v>
      </c>
      <c r="H14" s="528">
        <v>14047131</v>
      </c>
      <c r="I14" s="43"/>
    </row>
    <row r="15" spans="1:9" s="17" customFormat="1" ht="21.75" customHeight="1">
      <c r="A15" s="52"/>
      <c r="B15" s="53"/>
      <c r="C15" s="65"/>
      <c r="D15" s="66"/>
      <c r="E15" s="65"/>
      <c r="F15" s="66"/>
      <c r="G15" s="65"/>
      <c r="H15" s="67"/>
      <c r="I15" s="43"/>
    </row>
    <row r="16" spans="1:9" s="17" customFormat="1" ht="21.75" customHeight="1">
      <c r="A16" s="904" t="s">
        <v>58</v>
      </c>
      <c r="B16" s="897"/>
      <c r="C16" s="59">
        <f aca="true" t="shared" si="1" ref="C16:D18">E16+G16</f>
        <v>1227.78</v>
      </c>
      <c r="D16" s="69">
        <f t="shared" si="1"/>
        <v>0</v>
      </c>
      <c r="E16" s="102">
        <v>1.16</v>
      </c>
      <c r="F16" s="103">
        <v>0</v>
      </c>
      <c r="G16" s="545">
        <v>1226.62</v>
      </c>
      <c r="H16" s="529">
        <v>0</v>
      </c>
      <c r="I16" s="43"/>
    </row>
    <row r="17" spans="1:9" s="17" customFormat="1" ht="21.75" customHeight="1">
      <c r="A17" s="904" t="s">
        <v>59</v>
      </c>
      <c r="B17" s="897"/>
      <c r="C17" s="59">
        <f t="shared" si="1"/>
        <v>958.26</v>
      </c>
      <c r="D17" s="69">
        <f t="shared" si="1"/>
        <v>0</v>
      </c>
      <c r="E17" s="102">
        <v>300.8</v>
      </c>
      <c r="F17" s="103">
        <v>0</v>
      </c>
      <c r="G17" s="545">
        <v>657.46</v>
      </c>
      <c r="H17" s="529">
        <v>0</v>
      </c>
      <c r="I17" s="43"/>
    </row>
    <row r="18" spans="1:9" s="17" customFormat="1" ht="21.75" customHeight="1">
      <c r="A18" s="905" t="s">
        <v>56</v>
      </c>
      <c r="B18" s="906"/>
      <c r="C18" s="70">
        <f t="shared" si="1"/>
        <v>24229.03</v>
      </c>
      <c r="D18" s="69">
        <f t="shared" si="1"/>
        <v>0</v>
      </c>
      <c r="E18" s="549">
        <v>18766</v>
      </c>
      <c r="F18" s="103">
        <v>0</v>
      </c>
      <c r="G18" s="549">
        <v>5463.03</v>
      </c>
      <c r="H18" s="530">
        <v>0</v>
      </c>
      <c r="I18" s="43"/>
    </row>
    <row r="19" spans="1:9" s="17" customFormat="1" ht="21.75" customHeight="1" thickBot="1">
      <c r="A19" s="902" t="s">
        <v>67</v>
      </c>
      <c r="B19" s="903"/>
      <c r="C19" s="71">
        <f>E19</f>
        <v>1668</v>
      </c>
      <c r="D19" s="72">
        <f>F19+H19</f>
        <v>18986</v>
      </c>
      <c r="E19" s="73">
        <v>1668</v>
      </c>
      <c r="F19" s="550">
        <v>18986</v>
      </c>
      <c r="G19" s="73"/>
      <c r="H19" s="74"/>
      <c r="I19" s="75"/>
    </row>
    <row r="20" spans="1:9" s="17" customFormat="1" ht="12" customHeight="1">
      <c r="A20" s="76"/>
      <c r="D20" s="77"/>
      <c r="E20" s="77"/>
      <c r="F20" s="77"/>
      <c r="G20" s="77"/>
      <c r="H20" s="77"/>
      <c r="I20" s="43"/>
    </row>
    <row r="21" spans="1:9" s="17" customFormat="1" ht="12" customHeight="1">
      <c r="A21" s="567" t="s">
        <v>68</v>
      </c>
      <c r="B21" s="79"/>
      <c r="D21" s="77"/>
      <c r="E21" s="77"/>
      <c r="F21" s="77"/>
      <c r="G21" s="77"/>
      <c r="H21" s="77"/>
      <c r="I21" s="43"/>
    </row>
    <row r="22" spans="1:9" s="17" customFormat="1" ht="12" customHeight="1">
      <c r="A22" s="78"/>
      <c r="B22" s="79"/>
      <c r="D22" s="77"/>
      <c r="E22" s="77"/>
      <c r="F22" s="77"/>
      <c r="G22" s="77"/>
      <c r="H22" s="77"/>
      <c r="I22" s="43"/>
    </row>
    <row r="23" spans="1:8" s="17" customFormat="1" ht="13.5" customHeight="1">
      <c r="A23" s="567" t="s">
        <v>253</v>
      </c>
      <c r="B23" s="79"/>
      <c r="D23" s="80"/>
      <c r="E23" s="80"/>
      <c r="F23" s="80"/>
      <c r="G23" s="80"/>
      <c r="H23" s="80"/>
    </row>
    <row r="24" spans="1:8" s="17" customFormat="1" ht="13.5" customHeight="1">
      <c r="A24" s="568" t="s">
        <v>254</v>
      </c>
      <c r="B24" s="81"/>
      <c r="D24" s="80"/>
      <c r="E24" s="80"/>
      <c r="F24" s="80"/>
      <c r="G24" s="80"/>
      <c r="H24" s="80"/>
    </row>
    <row r="25" spans="1:8" s="17" customFormat="1" ht="13.5" customHeight="1">
      <c r="A25" s="568" t="s">
        <v>255</v>
      </c>
      <c r="B25" s="82"/>
      <c r="D25" s="80"/>
      <c r="E25" s="80"/>
      <c r="F25" s="80"/>
      <c r="G25" s="80"/>
      <c r="H25" s="80"/>
    </row>
    <row r="26" spans="1:8" s="17" customFormat="1" ht="12" customHeight="1">
      <c r="A26" s="81"/>
      <c r="B26" s="81"/>
      <c r="D26" s="80"/>
      <c r="E26" s="80"/>
      <c r="F26" s="80"/>
      <c r="G26" s="80"/>
      <c r="H26" s="80"/>
    </row>
    <row r="27" spans="1:8" s="17" customFormat="1" ht="12" customHeight="1">
      <c r="A27" s="81"/>
      <c r="B27" s="81"/>
      <c r="D27" s="80"/>
      <c r="E27" s="80"/>
      <c r="F27" s="80"/>
      <c r="G27" s="80"/>
      <c r="H27" s="80"/>
    </row>
    <row r="28" spans="1:8" s="17" customFormat="1" ht="12" customHeight="1">
      <c r="A28" s="81"/>
      <c r="B28" s="81"/>
      <c r="D28" s="80"/>
      <c r="E28" s="80"/>
      <c r="F28" s="80"/>
      <c r="G28" s="80"/>
      <c r="H28" s="80"/>
    </row>
    <row r="29" s="17" customFormat="1" ht="12"/>
    <row r="30" spans="1:7" s="85" customFormat="1" ht="14.25" customHeight="1">
      <c r="A30" s="83" t="s">
        <v>57</v>
      </c>
      <c r="B30" s="84"/>
      <c r="C30" s="84"/>
      <c r="D30" s="84"/>
      <c r="E30" s="84"/>
      <c r="F30" s="33"/>
      <c r="G30" s="84"/>
    </row>
    <row r="31" spans="2:8" s="86" customFormat="1" ht="15" thickBot="1">
      <c r="B31" s="33"/>
      <c r="C31" s="33"/>
      <c r="D31" s="33"/>
      <c r="E31" s="33"/>
      <c r="F31" s="33"/>
      <c r="H31" s="87" t="s">
        <v>69</v>
      </c>
    </row>
    <row r="32" spans="1:8" s="86" customFormat="1" ht="21.75" customHeight="1">
      <c r="A32" s="911" t="s">
        <v>70</v>
      </c>
      <c r="B32" s="912"/>
      <c r="C32" s="909" t="s">
        <v>71</v>
      </c>
      <c r="D32" s="910"/>
      <c r="E32" s="915" t="s">
        <v>72</v>
      </c>
      <c r="F32" s="916"/>
      <c r="G32" s="907" t="s">
        <v>73</v>
      </c>
      <c r="H32" s="908"/>
    </row>
    <row r="33" spans="1:8" s="86" customFormat="1" ht="21.75" customHeight="1">
      <c r="A33" s="913"/>
      <c r="B33" s="914"/>
      <c r="C33" s="88" t="s">
        <v>74</v>
      </c>
      <c r="D33" s="89" t="s">
        <v>75</v>
      </c>
      <c r="E33" s="434" t="s">
        <v>74</v>
      </c>
      <c r="F33" s="435" t="s">
        <v>75</v>
      </c>
      <c r="G33" s="88" t="s">
        <v>76</v>
      </c>
      <c r="H33" s="90" t="s">
        <v>75</v>
      </c>
    </row>
    <row r="34" spans="1:8" s="86" customFormat="1" ht="21.75" customHeight="1">
      <c r="A34" s="887" t="s">
        <v>77</v>
      </c>
      <c r="B34" s="888"/>
      <c r="C34" s="91">
        <f>E34+G34</f>
        <v>425054.33999999997</v>
      </c>
      <c r="D34" s="92">
        <f>SUM(D36:D39)</f>
        <v>86431577</v>
      </c>
      <c r="E34" s="105">
        <f>SUM(E36:E39)</f>
        <v>196821.13999999998</v>
      </c>
      <c r="F34" s="106">
        <f>SUM(F36:F39)</f>
        <v>25071025</v>
      </c>
      <c r="G34" s="91">
        <f>SUM(G36:G38)</f>
        <v>228233.19999999998</v>
      </c>
      <c r="H34" s="93">
        <f>SUM(H36:H38)</f>
        <v>61379538</v>
      </c>
    </row>
    <row r="35" spans="1:8" s="86" customFormat="1" ht="21.75" customHeight="1">
      <c r="A35" s="889"/>
      <c r="B35" s="890"/>
      <c r="C35" s="94"/>
      <c r="D35" s="95"/>
      <c r="E35" s="436"/>
      <c r="F35" s="437"/>
      <c r="G35" s="94"/>
      <c r="H35" s="96"/>
    </row>
    <row r="36" spans="1:8" s="86" customFormat="1" ht="21.75" customHeight="1">
      <c r="A36" s="891" t="s">
        <v>78</v>
      </c>
      <c r="B36" s="890"/>
      <c r="C36" s="97">
        <f aca="true" t="shared" si="2" ref="C36:D38">E36+G36</f>
        <v>179195.01</v>
      </c>
      <c r="D36" s="98">
        <f t="shared" si="2"/>
        <v>58240642</v>
      </c>
      <c r="E36" s="436">
        <v>69500.32</v>
      </c>
      <c r="F36" s="437">
        <v>12243972</v>
      </c>
      <c r="G36" s="94">
        <v>109694.69</v>
      </c>
      <c r="H36" s="96">
        <v>45996670</v>
      </c>
    </row>
    <row r="37" spans="1:8" s="86" customFormat="1" ht="21.75" customHeight="1">
      <c r="A37" s="891" t="s">
        <v>79</v>
      </c>
      <c r="B37" s="890"/>
      <c r="C37" s="97">
        <f t="shared" si="2"/>
        <v>217776.26</v>
      </c>
      <c r="D37" s="98">
        <f t="shared" si="2"/>
        <v>28190935</v>
      </c>
      <c r="E37" s="436">
        <v>106584.86</v>
      </c>
      <c r="F37" s="437">
        <v>12808067</v>
      </c>
      <c r="G37" s="94">
        <v>111191.4</v>
      </c>
      <c r="H37" s="96">
        <v>15382868</v>
      </c>
    </row>
    <row r="38" spans="1:8" s="86" customFormat="1" ht="21.75" customHeight="1">
      <c r="A38" s="891" t="s">
        <v>80</v>
      </c>
      <c r="B38" s="890"/>
      <c r="C38" s="97">
        <f t="shared" si="2"/>
        <v>26415.07</v>
      </c>
      <c r="D38" s="98">
        <f t="shared" si="2"/>
        <v>0</v>
      </c>
      <c r="E38" s="436">
        <v>19067.96</v>
      </c>
      <c r="F38" s="103">
        <v>0</v>
      </c>
      <c r="G38" s="94">
        <v>7347.11</v>
      </c>
      <c r="H38" s="551">
        <v>0</v>
      </c>
    </row>
    <row r="39" spans="1:8" s="86" customFormat="1" ht="21.75" customHeight="1" thickBot="1">
      <c r="A39" s="885" t="s">
        <v>81</v>
      </c>
      <c r="B39" s="886"/>
      <c r="C39" s="99">
        <f>E39+G39</f>
        <v>1668</v>
      </c>
      <c r="D39" s="100">
        <v>0</v>
      </c>
      <c r="E39" s="552">
        <v>1668</v>
      </c>
      <c r="F39" s="565">
        <v>18986</v>
      </c>
      <c r="G39" s="101"/>
      <c r="H39" s="427"/>
    </row>
    <row r="40" s="86" customFormat="1" ht="6" customHeight="1"/>
    <row r="41" s="86" customFormat="1" ht="12">
      <c r="A41" s="566" t="s">
        <v>82</v>
      </c>
    </row>
    <row r="42" s="17" customFormat="1" ht="6" customHeight="1">
      <c r="A42" s="569"/>
    </row>
    <row r="43" s="17" customFormat="1" ht="13.5" customHeight="1">
      <c r="A43" s="568" t="s">
        <v>83</v>
      </c>
    </row>
    <row r="44" spans="1:2" s="17" customFormat="1" ht="13.5" customHeight="1">
      <c r="A44" s="568" t="s">
        <v>84</v>
      </c>
      <c r="B44" s="531"/>
    </row>
    <row r="45" s="17" customFormat="1" ht="12" customHeight="1"/>
    <row r="46" s="17" customFormat="1" ht="12" customHeight="1"/>
    <row r="47" s="17" customFormat="1" ht="12" customHeight="1"/>
    <row r="48" s="17" customFormat="1" ht="19.5" customHeight="1">
      <c r="F48" s="459"/>
    </row>
    <row r="49" s="17" customFormat="1" ht="12" customHeight="1"/>
    <row r="50" s="17" customFormat="1" ht="12" customHeight="1"/>
    <row r="51" s="17" customFormat="1" ht="12" customHeight="1"/>
    <row r="52" s="17" customFormat="1" ht="12" customHeight="1"/>
    <row r="53" s="17" customFormat="1" ht="12" customHeight="1"/>
    <row r="54" s="17" customFormat="1" ht="12" customHeight="1"/>
    <row r="55" s="17" customFormat="1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</sheetData>
  <sheetProtection/>
  <mergeCells count="21">
    <mergeCell ref="A18:B18"/>
    <mergeCell ref="G32:H32"/>
    <mergeCell ref="C32:D32"/>
    <mergeCell ref="A32:B33"/>
    <mergeCell ref="E32:F32"/>
    <mergeCell ref="G3:H3"/>
    <mergeCell ref="C3:D3"/>
    <mergeCell ref="A5:B5"/>
    <mergeCell ref="A14:B14"/>
    <mergeCell ref="A3:B4"/>
    <mergeCell ref="A19:B19"/>
    <mergeCell ref="E3:F3"/>
    <mergeCell ref="A16:B16"/>
    <mergeCell ref="A7:B7"/>
    <mergeCell ref="A17:B17"/>
    <mergeCell ref="A39:B39"/>
    <mergeCell ref="A34:B34"/>
    <mergeCell ref="A35:B35"/>
    <mergeCell ref="A36:B36"/>
    <mergeCell ref="A37:B37"/>
    <mergeCell ref="A38:B38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view="pageBreakPreview" zoomScaleSheetLayoutView="100" zoomScalePageLayoutView="0" workbookViewId="0" topLeftCell="A1">
      <selection activeCell="E55" sqref="E55"/>
    </sheetView>
  </sheetViews>
  <sheetFormatPr defaultColWidth="10.75390625" defaultRowHeight="13.5"/>
  <cols>
    <col min="1" max="1" width="19.00390625" style="179" customWidth="1"/>
    <col min="2" max="5" width="10.50390625" style="179" customWidth="1"/>
    <col min="6" max="6" width="10.50390625" style="109" customWidth="1"/>
    <col min="7" max="11" width="10.50390625" style="179" customWidth="1"/>
    <col min="12" max="16384" width="10.75390625" style="179" customWidth="1"/>
  </cols>
  <sheetData>
    <row r="1" spans="1:11" s="109" customFormat="1" ht="15" customHeight="1">
      <c r="A1" s="107" t="s">
        <v>239</v>
      </c>
      <c r="B1" s="108"/>
      <c r="C1" s="108"/>
      <c r="D1" s="108"/>
      <c r="E1" s="108"/>
      <c r="F1" s="108"/>
      <c r="G1" s="108"/>
      <c r="H1" s="108"/>
      <c r="I1" s="108"/>
      <c r="K1" s="108"/>
    </row>
    <row r="2" s="110" customFormat="1" ht="12" customHeight="1">
      <c r="B2" s="570" t="s">
        <v>386</v>
      </c>
    </row>
    <row r="3" spans="1:11" s="109" customFormat="1" ht="15" customHeight="1">
      <c r="A3" s="110"/>
      <c r="B3" s="571" t="s">
        <v>234</v>
      </c>
      <c r="C3" s="110"/>
      <c r="D3" s="110"/>
      <c r="E3" s="110"/>
      <c r="F3" s="110"/>
      <c r="G3" s="110"/>
      <c r="H3" s="110"/>
      <c r="I3" s="110"/>
      <c r="J3" s="110"/>
      <c r="K3" s="110"/>
    </row>
    <row r="4" spans="1:12" s="109" customFormat="1" ht="12.75" thickBot="1">
      <c r="A4" s="111"/>
      <c r="C4" s="108"/>
      <c r="D4" s="108"/>
      <c r="E4" s="108"/>
      <c r="F4" s="108"/>
      <c r="G4" s="108"/>
      <c r="H4" s="108"/>
      <c r="I4" s="108"/>
      <c r="J4" s="108" t="s">
        <v>17</v>
      </c>
      <c r="L4" s="112"/>
    </row>
    <row r="5" spans="1:12" s="115" customFormat="1" ht="15" customHeight="1">
      <c r="A5" s="918" t="s">
        <v>60</v>
      </c>
      <c r="B5" s="892" t="s">
        <v>186</v>
      </c>
      <c r="C5" s="921" t="s">
        <v>187</v>
      </c>
      <c r="D5" s="922"/>
      <c r="E5" s="922"/>
      <c r="F5" s="923"/>
      <c r="G5" s="921" t="s">
        <v>188</v>
      </c>
      <c r="H5" s="924"/>
      <c r="I5" s="924"/>
      <c r="J5" s="893" t="s">
        <v>189</v>
      </c>
      <c r="L5" s="114"/>
    </row>
    <row r="6" spans="1:11" s="109" customFormat="1" ht="19.5" customHeight="1">
      <c r="A6" s="919"/>
      <c r="B6" s="920"/>
      <c r="C6" s="116" t="s">
        <v>186</v>
      </c>
      <c r="D6" s="117" t="s">
        <v>61</v>
      </c>
      <c r="E6" s="117" t="s">
        <v>62</v>
      </c>
      <c r="F6" s="118" t="s">
        <v>63</v>
      </c>
      <c r="G6" s="116" t="s">
        <v>186</v>
      </c>
      <c r="H6" s="117" t="s">
        <v>5</v>
      </c>
      <c r="I6" s="117" t="s">
        <v>6</v>
      </c>
      <c r="J6" s="917"/>
      <c r="K6" s="112"/>
    </row>
    <row r="7" spans="1:11" s="109" customFormat="1" ht="19.5" customHeight="1">
      <c r="A7" s="119" t="s">
        <v>240</v>
      </c>
      <c r="B7" s="120">
        <v>636316</v>
      </c>
      <c r="C7" s="121">
        <v>424021</v>
      </c>
      <c r="D7" s="122">
        <v>0.6663685967349556</v>
      </c>
      <c r="E7" s="124">
        <v>197272</v>
      </c>
      <c r="F7" s="123">
        <v>226749</v>
      </c>
      <c r="G7" s="121">
        <v>83800</v>
      </c>
      <c r="H7" s="124">
        <v>31500</v>
      </c>
      <c r="I7" s="124">
        <v>44800</v>
      </c>
      <c r="J7" s="125">
        <f>B7-C7-G7</f>
        <v>128495</v>
      </c>
      <c r="K7" s="112"/>
    </row>
    <row r="8" spans="1:11" s="109" customFormat="1" ht="19.5" customHeight="1">
      <c r="A8" s="68" t="s">
        <v>241</v>
      </c>
      <c r="B8" s="126">
        <v>636316</v>
      </c>
      <c r="C8" s="127">
        <v>424463.62</v>
      </c>
      <c r="D8" s="128">
        <v>0.667064194519704</v>
      </c>
      <c r="E8" s="130">
        <v>197030.42</v>
      </c>
      <c r="F8" s="129">
        <v>227433.2</v>
      </c>
      <c r="G8" s="127">
        <v>78500</v>
      </c>
      <c r="H8" s="130">
        <v>29400</v>
      </c>
      <c r="I8" s="130">
        <v>43000</v>
      </c>
      <c r="J8" s="131">
        <f>B8-C8-G8</f>
        <v>133352.38</v>
      </c>
      <c r="K8" s="112"/>
    </row>
    <row r="9" spans="1:11" s="109" customFormat="1" ht="19.5" customHeight="1" thickBot="1">
      <c r="A9" s="52" t="s">
        <v>385</v>
      </c>
      <c r="B9" s="132">
        <f>B10+B17+B25+B43</f>
        <v>636316</v>
      </c>
      <c r="C9" s="132">
        <v>425054</v>
      </c>
      <c r="D9" s="134">
        <f>C9/B9</f>
        <v>0.6679920039728688</v>
      </c>
      <c r="E9" s="135">
        <f>+E10+E17+E25+E43</f>
        <v>196367</v>
      </c>
      <c r="F9" s="135">
        <f>+F10+F17+F25+F43</f>
        <v>228233.24</v>
      </c>
      <c r="G9" s="133">
        <v>76900</v>
      </c>
      <c r="H9" s="449">
        <v>28700</v>
      </c>
      <c r="I9" s="449">
        <v>48100</v>
      </c>
      <c r="J9" s="136">
        <f>B9-C9-G9</f>
        <v>134362</v>
      </c>
      <c r="K9" s="112"/>
    </row>
    <row r="10" spans="1:11" s="109" customFormat="1" ht="25.5" customHeight="1">
      <c r="A10" s="137" t="s">
        <v>134</v>
      </c>
      <c r="B10" s="138">
        <f>B11</f>
        <v>176575</v>
      </c>
      <c r="C10" s="139">
        <f>C11</f>
        <v>151746.57</v>
      </c>
      <c r="D10" s="140">
        <f aca="true" t="shared" si="0" ref="D10:D16">C10/B10</f>
        <v>0.8593887583179952</v>
      </c>
      <c r="E10" s="142">
        <f aca="true" t="shared" si="1" ref="E10:J10">E11</f>
        <v>97488.95</v>
      </c>
      <c r="F10" s="141">
        <f t="shared" si="1"/>
        <v>54257.62</v>
      </c>
      <c r="G10" s="139">
        <v>8940</v>
      </c>
      <c r="H10" s="142">
        <f>H11</f>
        <v>2060</v>
      </c>
      <c r="I10" s="142">
        <f>I11</f>
        <v>6880</v>
      </c>
      <c r="J10" s="143">
        <f t="shared" si="1"/>
        <v>15882.43</v>
      </c>
      <c r="K10" s="112"/>
    </row>
    <row r="11" spans="1:11" s="109" customFormat="1" ht="18" customHeight="1">
      <c r="A11" s="144" t="s">
        <v>377</v>
      </c>
      <c r="B11" s="145">
        <f>SUM(B12:B16)</f>
        <v>176575</v>
      </c>
      <c r="C11" s="146">
        <f>SUM(C12:C16)</f>
        <v>151746.57</v>
      </c>
      <c r="D11" s="147">
        <f t="shared" si="0"/>
        <v>0.8593887583179952</v>
      </c>
      <c r="E11" s="148">
        <f aca="true" t="shared" si="2" ref="E11:J11">SUM(E12:E16)</f>
        <v>97488.95</v>
      </c>
      <c r="F11" s="148">
        <f t="shared" si="2"/>
        <v>54257.62</v>
      </c>
      <c r="G11" s="146">
        <v>8940</v>
      </c>
      <c r="H11" s="149">
        <v>2060</v>
      </c>
      <c r="I11" s="149">
        <v>6880</v>
      </c>
      <c r="J11" s="150">
        <f t="shared" si="2"/>
        <v>15882.43</v>
      </c>
      <c r="K11" s="112"/>
    </row>
    <row r="12" spans="1:11" s="109" customFormat="1" ht="18" customHeight="1">
      <c r="A12" s="151" t="s">
        <v>190</v>
      </c>
      <c r="B12" s="152">
        <v>44337</v>
      </c>
      <c r="C12" s="153">
        <f>E12+F12</f>
        <v>35272.479999999996</v>
      </c>
      <c r="D12" s="154">
        <f t="shared" si="0"/>
        <v>0.7955540519205178</v>
      </c>
      <c r="E12" s="155">
        <v>25816.87</v>
      </c>
      <c r="F12" s="450">
        <v>9455.61</v>
      </c>
      <c r="G12" s="153">
        <f>SUM(H12:I12)</f>
        <v>3403</v>
      </c>
      <c r="H12" s="155">
        <v>883</v>
      </c>
      <c r="I12" s="155">
        <v>2520</v>
      </c>
      <c r="J12" s="156">
        <f>B12-C12-G12</f>
        <v>5661.520000000004</v>
      </c>
      <c r="K12" s="112"/>
    </row>
    <row r="13" spans="1:11" s="109" customFormat="1" ht="18" customHeight="1">
      <c r="A13" s="157" t="s">
        <v>191</v>
      </c>
      <c r="B13" s="158">
        <v>39201</v>
      </c>
      <c r="C13" s="102">
        <f>E13+F13</f>
        <v>36263.14</v>
      </c>
      <c r="D13" s="159">
        <f t="shared" si="0"/>
        <v>0.9250565036606209</v>
      </c>
      <c r="E13" s="155">
        <v>9208.58</v>
      </c>
      <c r="F13" s="451">
        <v>27054.56</v>
      </c>
      <c r="G13" s="102">
        <f>SUM(H13:I13)</f>
        <v>755</v>
      </c>
      <c r="H13" s="452">
        <v>163</v>
      </c>
      <c r="I13" s="452">
        <v>592</v>
      </c>
      <c r="J13" s="156">
        <f>B13-C13-G13</f>
        <v>2182.8600000000006</v>
      </c>
      <c r="K13" s="112"/>
    </row>
    <row r="14" spans="1:11" s="109" customFormat="1" ht="18" customHeight="1">
      <c r="A14" s="157" t="s">
        <v>192</v>
      </c>
      <c r="B14" s="158">
        <v>8529</v>
      </c>
      <c r="C14" s="102">
        <f>E14+F14</f>
        <v>7399.82</v>
      </c>
      <c r="D14" s="159">
        <f t="shared" si="0"/>
        <v>0.867606987923555</v>
      </c>
      <c r="E14" s="155">
        <v>4410.92</v>
      </c>
      <c r="F14" s="451">
        <v>2988.9</v>
      </c>
      <c r="G14" s="102">
        <f>SUM(H14:I14)</f>
        <v>579</v>
      </c>
      <c r="H14" s="452">
        <v>212</v>
      </c>
      <c r="I14" s="452">
        <v>367</v>
      </c>
      <c r="J14" s="156">
        <f>B14-C14-G14</f>
        <v>550.1800000000003</v>
      </c>
      <c r="K14" s="112"/>
    </row>
    <row r="15" spans="1:11" s="109" customFormat="1" ht="18" customHeight="1">
      <c r="A15" s="428" t="s">
        <v>193</v>
      </c>
      <c r="B15" s="429">
        <v>6417</v>
      </c>
      <c r="C15" s="430">
        <f>E15+F15</f>
        <v>2623.86</v>
      </c>
      <c r="D15" s="431">
        <f t="shared" si="0"/>
        <v>0.4088920056100982</v>
      </c>
      <c r="E15" s="155">
        <v>1185.46</v>
      </c>
      <c r="F15" s="453">
        <v>1438.4</v>
      </c>
      <c r="G15" s="430">
        <f>SUM(H15:I15)</f>
        <v>2394</v>
      </c>
      <c r="H15" s="454">
        <v>74</v>
      </c>
      <c r="I15" s="454">
        <v>2320</v>
      </c>
      <c r="J15" s="432">
        <f>B15-C15-G15</f>
        <v>1399.1399999999999</v>
      </c>
      <c r="K15" s="112"/>
    </row>
    <row r="16" spans="1:11" s="109" customFormat="1" ht="18" customHeight="1" thickBot="1">
      <c r="A16" s="455" t="s">
        <v>194</v>
      </c>
      <c r="B16" s="429">
        <v>78091</v>
      </c>
      <c r="C16" s="430">
        <f>E16+F16</f>
        <v>70187.27</v>
      </c>
      <c r="D16" s="431">
        <f t="shared" si="0"/>
        <v>0.8987882086283951</v>
      </c>
      <c r="E16" s="155">
        <v>56867.12</v>
      </c>
      <c r="F16" s="456">
        <v>13320.15</v>
      </c>
      <c r="G16" s="430">
        <f>SUM(H16:I16)</f>
        <v>1815</v>
      </c>
      <c r="H16" s="457">
        <v>725</v>
      </c>
      <c r="I16" s="457">
        <v>1090</v>
      </c>
      <c r="J16" s="432">
        <f>B16-C16-G16</f>
        <v>6088.729999999996</v>
      </c>
      <c r="K16" s="112"/>
    </row>
    <row r="17" spans="1:11" s="109" customFormat="1" ht="25.5" customHeight="1">
      <c r="A17" s="160" t="s">
        <v>85</v>
      </c>
      <c r="B17" s="138">
        <f>B18</f>
        <v>127827</v>
      </c>
      <c r="C17" s="139">
        <f>C18</f>
        <v>102304.95000000001</v>
      </c>
      <c r="D17" s="140">
        <f aca="true" t="shared" si="3" ref="D17:D24">C17/B17</f>
        <v>0.8003391302307026</v>
      </c>
      <c r="E17" s="142">
        <f aca="true" t="shared" si="4" ref="E17:J17">E18</f>
        <v>58239.54</v>
      </c>
      <c r="F17" s="141">
        <f>F18</f>
        <v>44065.409999999996</v>
      </c>
      <c r="G17" s="139">
        <v>10100</v>
      </c>
      <c r="H17" s="142">
        <f t="shared" si="4"/>
        <v>1380</v>
      </c>
      <c r="I17" s="142">
        <f>I18</f>
        <v>8760</v>
      </c>
      <c r="J17" s="143">
        <f t="shared" si="4"/>
        <v>15385.049999999994</v>
      </c>
      <c r="K17" s="112"/>
    </row>
    <row r="18" spans="1:11" s="109" customFormat="1" ht="18" customHeight="1">
      <c r="A18" s="144" t="s">
        <v>176</v>
      </c>
      <c r="B18" s="145">
        <f>SUM(B19:B24)</f>
        <v>127827</v>
      </c>
      <c r="C18" s="145">
        <f>SUM(C19:C24)</f>
        <v>102304.95000000001</v>
      </c>
      <c r="D18" s="147">
        <f t="shared" si="3"/>
        <v>0.8003391302307026</v>
      </c>
      <c r="E18" s="148">
        <f>SUM(E19:E24)</f>
        <v>58239.54</v>
      </c>
      <c r="F18" s="148">
        <f>SUM(F19:F24)</f>
        <v>44065.409999999996</v>
      </c>
      <c r="G18" s="146">
        <v>10100</v>
      </c>
      <c r="H18" s="149">
        <v>1380</v>
      </c>
      <c r="I18" s="149">
        <v>8760</v>
      </c>
      <c r="J18" s="150">
        <f>SUM(J19:J24)</f>
        <v>15385.049999999994</v>
      </c>
      <c r="K18" s="112"/>
    </row>
    <row r="19" spans="1:12" s="109" customFormat="1" ht="18" customHeight="1">
      <c r="A19" s="151" t="s">
        <v>195</v>
      </c>
      <c r="B19" s="152">
        <f>23647+20281</f>
        <v>43928</v>
      </c>
      <c r="C19" s="153">
        <f aca="true" t="shared" si="5" ref="C19:C24">E19+F19</f>
        <v>38173.05</v>
      </c>
      <c r="D19" s="154">
        <f t="shared" si="3"/>
        <v>0.8689913039519214</v>
      </c>
      <c r="E19" s="155">
        <f>13309.98+16795.58</f>
        <v>30105.56</v>
      </c>
      <c r="F19" s="450">
        <v>8067.49</v>
      </c>
      <c r="G19" s="153">
        <f aca="true" t="shared" si="6" ref="G19:G24">SUM(H19:I19)</f>
        <v>1617</v>
      </c>
      <c r="H19" s="155">
        <f>497+9</f>
        <v>506</v>
      </c>
      <c r="I19" s="155">
        <f>824+287</f>
        <v>1111</v>
      </c>
      <c r="J19" s="156">
        <f aca="true" t="shared" si="7" ref="J19:J24">B19-C19-G19</f>
        <v>4137.949999999997</v>
      </c>
      <c r="K19" s="112"/>
      <c r="L19" s="109" t="e">
        <f>G19+G20+G21+G22+#REF!+G23+G24</f>
        <v>#REF!</v>
      </c>
    </row>
    <row r="20" spans="1:11" s="109" customFormat="1" ht="18" customHeight="1">
      <c r="A20" s="157" t="s">
        <v>196</v>
      </c>
      <c r="B20" s="158">
        <v>13393</v>
      </c>
      <c r="C20" s="102">
        <f t="shared" si="5"/>
        <v>9687.45</v>
      </c>
      <c r="D20" s="159">
        <f t="shared" si="3"/>
        <v>0.7233218845665647</v>
      </c>
      <c r="E20" s="155">
        <v>2350.23</v>
      </c>
      <c r="F20" s="451">
        <v>7337.22</v>
      </c>
      <c r="G20" s="102">
        <f t="shared" si="6"/>
        <v>1339</v>
      </c>
      <c r="H20" s="452">
        <v>69</v>
      </c>
      <c r="I20" s="452">
        <v>1270</v>
      </c>
      <c r="J20" s="161">
        <f t="shared" si="7"/>
        <v>2366.5499999999993</v>
      </c>
      <c r="K20" s="112"/>
    </row>
    <row r="21" spans="1:11" s="109" customFormat="1" ht="18" customHeight="1">
      <c r="A21" s="157" t="s">
        <v>197</v>
      </c>
      <c r="B21" s="158">
        <v>33751</v>
      </c>
      <c r="C21" s="102">
        <f t="shared" si="5"/>
        <v>25988.29</v>
      </c>
      <c r="D21" s="159">
        <f t="shared" si="3"/>
        <v>0.7700005925750348</v>
      </c>
      <c r="E21" s="155">
        <v>14568.12</v>
      </c>
      <c r="F21" s="451">
        <v>11420.17</v>
      </c>
      <c r="G21" s="102">
        <f t="shared" si="6"/>
        <v>4222</v>
      </c>
      <c r="H21" s="452">
        <v>122</v>
      </c>
      <c r="I21" s="452">
        <v>4100</v>
      </c>
      <c r="J21" s="161">
        <f t="shared" si="7"/>
        <v>3540.709999999999</v>
      </c>
      <c r="K21" s="112"/>
    </row>
    <row r="22" spans="1:11" s="109" customFormat="1" ht="18" customHeight="1">
      <c r="A22" s="157" t="s">
        <v>198</v>
      </c>
      <c r="B22" s="158">
        <v>4974</v>
      </c>
      <c r="C22" s="102">
        <f t="shared" si="5"/>
        <v>3892.92</v>
      </c>
      <c r="D22" s="159">
        <f t="shared" si="3"/>
        <v>0.7826537997587455</v>
      </c>
      <c r="E22" s="155">
        <v>3521.7</v>
      </c>
      <c r="F22" s="451">
        <v>371.22</v>
      </c>
      <c r="G22" s="102">
        <f t="shared" si="6"/>
        <v>103</v>
      </c>
      <c r="H22" s="452">
        <v>0</v>
      </c>
      <c r="I22" s="452">
        <v>103</v>
      </c>
      <c r="J22" s="161">
        <f t="shared" si="7"/>
        <v>978.0799999999999</v>
      </c>
      <c r="K22" s="112"/>
    </row>
    <row r="23" spans="1:11" s="109" customFormat="1" ht="18" customHeight="1">
      <c r="A23" s="157" t="s">
        <v>199</v>
      </c>
      <c r="B23" s="158">
        <v>6416</v>
      </c>
      <c r="C23" s="102">
        <f t="shared" si="5"/>
        <v>4886.93</v>
      </c>
      <c r="D23" s="159">
        <f t="shared" si="3"/>
        <v>0.7616786159600998</v>
      </c>
      <c r="E23" s="155">
        <v>138.72</v>
      </c>
      <c r="F23" s="451">
        <v>4748.21</v>
      </c>
      <c r="G23" s="102">
        <f t="shared" si="6"/>
        <v>558</v>
      </c>
      <c r="H23" s="452">
        <v>170</v>
      </c>
      <c r="I23" s="452">
        <v>388</v>
      </c>
      <c r="J23" s="161">
        <f t="shared" si="7"/>
        <v>971.0699999999997</v>
      </c>
      <c r="K23" s="112"/>
    </row>
    <row r="24" spans="1:11" s="109" customFormat="1" ht="18" customHeight="1" thickBot="1">
      <c r="A24" s="157" t="s">
        <v>177</v>
      </c>
      <c r="B24" s="158">
        <v>25365</v>
      </c>
      <c r="C24" s="102">
        <f t="shared" si="5"/>
        <v>19676.31</v>
      </c>
      <c r="D24" s="159">
        <f t="shared" si="3"/>
        <v>0.7757267888823182</v>
      </c>
      <c r="E24" s="155">
        <v>7555.21</v>
      </c>
      <c r="F24" s="451">
        <v>12121.1</v>
      </c>
      <c r="G24" s="102">
        <f t="shared" si="6"/>
        <v>2298</v>
      </c>
      <c r="H24" s="452">
        <v>508</v>
      </c>
      <c r="I24" s="452">
        <v>1790</v>
      </c>
      <c r="J24" s="161">
        <f t="shared" si="7"/>
        <v>3390.6899999999987</v>
      </c>
      <c r="K24" s="112"/>
    </row>
    <row r="25" spans="1:11" s="109" customFormat="1" ht="25.5" customHeight="1">
      <c r="A25" s="137" t="s">
        <v>183</v>
      </c>
      <c r="B25" s="138">
        <f>B26+B33</f>
        <v>161828</v>
      </c>
      <c r="C25" s="139">
        <f>C26+C33</f>
        <v>59820.78</v>
      </c>
      <c r="D25" s="140">
        <f aca="true" t="shared" si="8" ref="D25:D32">C25/B25</f>
        <v>0.369656548928492</v>
      </c>
      <c r="E25" s="142">
        <f>E26+E33</f>
        <v>11533.82</v>
      </c>
      <c r="F25" s="141">
        <f>F26+F33</f>
        <v>48286.77</v>
      </c>
      <c r="G25" s="139">
        <v>39300</v>
      </c>
      <c r="H25" s="142">
        <v>19040</v>
      </c>
      <c r="I25" s="142">
        <v>20180</v>
      </c>
      <c r="J25" s="143">
        <f>J26+J33</f>
        <v>62724.22</v>
      </c>
      <c r="K25" s="112"/>
    </row>
    <row r="26" spans="1:11" s="109" customFormat="1" ht="18" customHeight="1">
      <c r="A26" s="144" t="s">
        <v>367</v>
      </c>
      <c r="B26" s="145">
        <f>SUM(B27:B32)</f>
        <v>76569</v>
      </c>
      <c r="C26" s="145">
        <f>SUM(C27:C32)</f>
        <v>21726.44</v>
      </c>
      <c r="D26" s="147">
        <f>C26/B26</f>
        <v>0.28374982042340896</v>
      </c>
      <c r="E26" s="149">
        <v>4052</v>
      </c>
      <c r="F26" s="149">
        <f>SUM(F27:F32)</f>
        <v>17674.249999999996</v>
      </c>
      <c r="G26" s="798">
        <f>SUM(G27:G32)</f>
        <v>21076</v>
      </c>
      <c r="H26" s="798">
        <f>SUM(H27:H32)</f>
        <v>8136</v>
      </c>
      <c r="I26" s="798">
        <f>SUM(I27:I32)</f>
        <v>12940</v>
      </c>
      <c r="J26" s="150">
        <f>SUM(J27:J32)</f>
        <v>33766.56</v>
      </c>
      <c r="K26" s="112"/>
    </row>
    <row r="27" spans="1:11" s="109" customFormat="1" ht="18" customHeight="1">
      <c r="A27" s="151" t="s">
        <v>200</v>
      </c>
      <c r="B27" s="152">
        <f>24122+7042</f>
        <v>31164</v>
      </c>
      <c r="C27" s="153">
        <f aca="true" t="shared" si="9" ref="C27:C32">E27+F27</f>
        <v>7425.59</v>
      </c>
      <c r="D27" s="154">
        <f t="shared" si="8"/>
        <v>0.23827461173148506</v>
      </c>
      <c r="E27" s="155">
        <v>1007.19</v>
      </c>
      <c r="F27" s="450">
        <v>6418.4</v>
      </c>
      <c r="G27" s="153">
        <f aca="true" t="shared" si="10" ref="G27:G32">SUM(H27:I27)</f>
        <v>9564</v>
      </c>
      <c r="H27" s="155">
        <f>3760+474</f>
        <v>4234</v>
      </c>
      <c r="I27" s="155">
        <f>4300+1030</f>
        <v>5330</v>
      </c>
      <c r="J27" s="156">
        <f aca="true" t="shared" si="11" ref="J27:J32">B27-C27-G27</f>
        <v>14174.41</v>
      </c>
      <c r="K27" s="112"/>
    </row>
    <row r="28" spans="1:11" s="109" customFormat="1" ht="18" customHeight="1">
      <c r="A28" s="157" t="s">
        <v>201</v>
      </c>
      <c r="B28" s="158">
        <v>13933</v>
      </c>
      <c r="C28" s="102">
        <f t="shared" si="9"/>
        <v>24.94</v>
      </c>
      <c r="D28" s="159">
        <f t="shared" si="8"/>
        <v>0.0017899949759563626</v>
      </c>
      <c r="E28" s="155">
        <v>0</v>
      </c>
      <c r="F28" s="451">
        <v>24.94</v>
      </c>
      <c r="G28" s="102">
        <f t="shared" si="10"/>
        <v>5020</v>
      </c>
      <c r="H28" s="452">
        <v>1860</v>
      </c>
      <c r="I28" s="452">
        <v>3160</v>
      </c>
      <c r="J28" s="161">
        <f t="shared" si="11"/>
        <v>8888.06</v>
      </c>
      <c r="K28" s="112"/>
    </row>
    <row r="29" spans="1:11" s="109" customFormat="1" ht="18" customHeight="1">
      <c r="A29" s="178" t="s">
        <v>202</v>
      </c>
      <c r="B29" s="162">
        <v>2586</v>
      </c>
      <c r="C29" s="163">
        <f t="shared" si="9"/>
        <v>19.47</v>
      </c>
      <c r="D29" s="164">
        <f t="shared" si="8"/>
        <v>0.007529002320185614</v>
      </c>
      <c r="E29" s="155">
        <v>0</v>
      </c>
      <c r="F29" s="165">
        <v>19.47</v>
      </c>
      <c r="G29" s="163">
        <f t="shared" si="10"/>
        <v>969</v>
      </c>
      <c r="H29" s="166">
        <v>677</v>
      </c>
      <c r="I29" s="166">
        <v>292</v>
      </c>
      <c r="J29" s="167">
        <f t="shared" si="11"/>
        <v>1597.5300000000002</v>
      </c>
      <c r="K29" s="112"/>
    </row>
    <row r="30" spans="1:11" s="109" customFormat="1" ht="18" customHeight="1">
      <c r="A30" s="157" t="s">
        <v>203</v>
      </c>
      <c r="B30" s="158">
        <v>24042</v>
      </c>
      <c r="C30" s="102">
        <f t="shared" si="9"/>
        <v>12716</v>
      </c>
      <c r="D30" s="159">
        <f t="shared" si="8"/>
        <v>0.5289077447799684</v>
      </c>
      <c r="E30" s="155">
        <v>2608</v>
      </c>
      <c r="F30" s="451">
        <v>10108</v>
      </c>
      <c r="G30" s="799">
        <f t="shared" si="10"/>
        <v>4215</v>
      </c>
      <c r="H30" s="452">
        <v>955</v>
      </c>
      <c r="I30" s="452">
        <v>3260</v>
      </c>
      <c r="J30" s="161">
        <f t="shared" si="11"/>
        <v>7111</v>
      </c>
      <c r="K30" s="112"/>
    </row>
    <row r="31" spans="1:11" s="109" customFormat="1" ht="18" customHeight="1">
      <c r="A31" s="157" t="s">
        <v>204</v>
      </c>
      <c r="B31" s="158">
        <v>2794</v>
      </c>
      <c r="C31" s="102">
        <f t="shared" si="9"/>
        <v>1189.75</v>
      </c>
      <c r="D31" s="159">
        <f t="shared" si="8"/>
        <v>0.425823192555476</v>
      </c>
      <c r="E31" s="155">
        <v>437</v>
      </c>
      <c r="F31" s="451">
        <v>752.75</v>
      </c>
      <c r="G31" s="102">
        <f t="shared" si="10"/>
        <v>679</v>
      </c>
      <c r="H31" s="452">
        <v>193</v>
      </c>
      <c r="I31" s="452">
        <v>486</v>
      </c>
      <c r="J31" s="161">
        <f t="shared" si="11"/>
        <v>925.25</v>
      </c>
      <c r="K31" s="112"/>
    </row>
    <row r="32" spans="1:11" s="109" customFormat="1" ht="18" customHeight="1">
      <c r="A32" s="178" t="s">
        <v>205</v>
      </c>
      <c r="B32" s="162">
        <v>2050</v>
      </c>
      <c r="C32" s="163">
        <f t="shared" si="9"/>
        <v>350.69</v>
      </c>
      <c r="D32" s="164">
        <f t="shared" si="8"/>
        <v>0.17106829268292684</v>
      </c>
      <c r="E32" s="155">
        <v>0</v>
      </c>
      <c r="F32" s="165">
        <v>350.69</v>
      </c>
      <c r="G32" s="163">
        <f t="shared" si="10"/>
        <v>629</v>
      </c>
      <c r="H32" s="166">
        <v>217</v>
      </c>
      <c r="I32" s="166">
        <v>412</v>
      </c>
      <c r="J32" s="167">
        <f t="shared" si="11"/>
        <v>1070.31</v>
      </c>
      <c r="K32" s="112"/>
    </row>
    <row r="33" spans="1:11" s="109" customFormat="1" ht="18" customHeight="1">
      <c r="A33" s="144" t="s">
        <v>368</v>
      </c>
      <c r="B33" s="145">
        <f>SUM(B34:B42)</f>
        <v>85259</v>
      </c>
      <c r="C33" s="146">
        <f>SUM(C34:C42)</f>
        <v>38094.34</v>
      </c>
      <c r="D33" s="147">
        <f>C33/B33</f>
        <v>0.446807257884798</v>
      </c>
      <c r="E33" s="149">
        <f aca="true" t="shared" si="12" ref="E33:J33">SUM(E34:E42)</f>
        <v>7481.82</v>
      </c>
      <c r="F33" s="148">
        <f t="shared" si="12"/>
        <v>30612.52</v>
      </c>
      <c r="G33" s="146">
        <f t="shared" si="12"/>
        <v>18207</v>
      </c>
      <c r="H33" s="146">
        <f t="shared" si="12"/>
        <v>10924</v>
      </c>
      <c r="I33" s="146">
        <f t="shared" si="12"/>
        <v>7283</v>
      </c>
      <c r="J33" s="150">
        <f t="shared" si="12"/>
        <v>28957.660000000003</v>
      </c>
      <c r="K33" s="112"/>
    </row>
    <row r="34" spans="1:11" s="109" customFormat="1" ht="18" customHeight="1">
      <c r="A34" s="157" t="s">
        <v>206</v>
      </c>
      <c r="B34" s="158">
        <v>17649</v>
      </c>
      <c r="C34" s="102">
        <f aca="true" t="shared" si="13" ref="C34:C40">E34+F34</f>
        <v>907.44</v>
      </c>
      <c r="D34" s="159">
        <f aca="true" t="shared" si="14" ref="D34:D40">C34/B34</f>
        <v>0.05141594424613293</v>
      </c>
      <c r="E34" s="155">
        <v>3</v>
      </c>
      <c r="F34" s="451">
        <v>904.44</v>
      </c>
      <c r="G34" s="102">
        <f aca="true" t="shared" si="15" ref="G34:G42">SUM(H34:I34)</f>
        <v>6860</v>
      </c>
      <c r="H34" s="452">
        <v>2910</v>
      </c>
      <c r="I34" s="452">
        <v>3950</v>
      </c>
      <c r="J34" s="161">
        <f aca="true" t="shared" si="16" ref="J34:J40">B34-C34-G34</f>
        <v>9881.560000000001</v>
      </c>
      <c r="K34" s="112"/>
    </row>
    <row r="35" spans="1:11" s="109" customFormat="1" ht="18" customHeight="1">
      <c r="A35" s="157" t="s">
        <v>207</v>
      </c>
      <c r="B35" s="158">
        <v>6098</v>
      </c>
      <c r="C35" s="102">
        <f t="shared" si="13"/>
        <v>44.8</v>
      </c>
      <c r="D35" s="159">
        <f t="shared" si="14"/>
        <v>0.007346671039685142</v>
      </c>
      <c r="E35" s="155">
        <v>0</v>
      </c>
      <c r="F35" s="451">
        <v>44.8</v>
      </c>
      <c r="G35" s="102">
        <f t="shared" si="15"/>
        <v>2523</v>
      </c>
      <c r="H35" s="452">
        <v>2300</v>
      </c>
      <c r="I35" s="452">
        <v>223</v>
      </c>
      <c r="J35" s="161">
        <f t="shared" si="16"/>
        <v>3530.2</v>
      </c>
      <c r="K35" s="112"/>
    </row>
    <row r="36" spans="1:11" s="109" customFormat="1" ht="18" customHeight="1">
      <c r="A36" s="157" t="s">
        <v>208</v>
      </c>
      <c r="B36" s="158">
        <v>4184</v>
      </c>
      <c r="C36" s="102">
        <f t="shared" si="13"/>
        <v>5.31</v>
      </c>
      <c r="D36" s="159">
        <f t="shared" si="14"/>
        <v>0.0012691204588910134</v>
      </c>
      <c r="E36" s="155">
        <v>0</v>
      </c>
      <c r="F36" s="451">
        <v>5.31</v>
      </c>
      <c r="G36" s="102">
        <f t="shared" si="15"/>
        <v>2200</v>
      </c>
      <c r="H36" s="452">
        <v>2020</v>
      </c>
      <c r="I36" s="452">
        <v>180</v>
      </c>
      <c r="J36" s="161">
        <f t="shared" si="16"/>
        <v>1978.6899999999996</v>
      </c>
      <c r="K36" s="112"/>
    </row>
    <row r="37" spans="1:11" s="109" customFormat="1" ht="18" customHeight="1">
      <c r="A37" s="157" t="s">
        <v>86</v>
      </c>
      <c r="B37" s="158">
        <v>1967</v>
      </c>
      <c r="C37" s="102">
        <f t="shared" si="13"/>
        <v>2.85</v>
      </c>
      <c r="D37" s="159">
        <f t="shared" si="14"/>
        <v>0.0014489069649211998</v>
      </c>
      <c r="E37" s="155">
        <v>0</v>
      </c>
      <c r="F37" s="451">
        <v>2.85</v>
      </c>
      <c r="G37" s="102">
        <f t="shared" si="15"/>
        <v>891</v>
      </c>
      <c r="H37" s="452">
        <v>686</v>
      </c>
      <c r="I37" s="452">
        <v>205</v>
      </c>
      <c r="J37" s="161">
        <f t="shared" si="16"/>
        <v>1073.15</v>
      </c>
      <c r="K37" s="112"/>
    </row>
    <row r="38" spans="1:11" s="109" customFormat="1" ht="18" customHeight="1">
      <c r="A38" s="157" t="s">
        <v>209</v>
      </c>
      <c r="B38" s="158">
        <v>2176</v>
      </c>
      <c r="C38" s="102">
        <f t="shared" si="13"/>
        <v>30.96</v>
      </c>
      <c r="D38" s="159">
        <f t="shared" si="14"/>
        <v>0.014227941176470589</v>
      </c>
      <c r="E38" s="155">
        <v>0</v>
      </c>
      <c r="F38" s="451">
        <v>30.96</v>
      </c>
      <c r="G38" s="102">
        <f t="shared" si="15"/>
        <v>974</v>
      </c>
      <c r="H38" s="452">
        <v>768</v>
      </c>
      <c r="I38" s="452">
        <v>206</v>
      </c>
      <c r="J38" s="161">
        <f t="shared" si="16"/>
        <v>1171.04</v>
      </c>
      <c r="K38" s="112"/>
    </row>
    <row r="39" spans="1:11" s="109" customFormat="1" ht="18" customHeight="1">
      <c r="A39" s="157" t="s">
        <v>210</v>
      </c>
      <c r="B39" s="158">
        <v>1793</v>
      </c>
      <c r="C39" s="102">
        <f t="shared" si="13"/>
        <v>2.09</v>
      </c>
      <c r="D39" s="159">
        <f t="shared" si="14"/>
        <v>0.001165644171779141</v>
      </c>
      <c r="E39" s="155">
        <v>0</v>
      </c>
      <c r="F39" s="451">
        <v>2.09</v>
      </c>
      <c r="G39" s="102">
        <f t="shared" si="15"/>
        <v>320</v>
      </c>
      <c r="H39" s="452">
        <v>224</v>
      </c>
      <c r="I39" s="452">
        <v>96</v>
      </c>
      <c r="J39" s="161">
        <f t="shared" si="16"/>
        <v>1470.91</v>
      </c>
      <c r="K39" s="112"/>
    </row>
    <row r="40" spans="1:11" s="109" customFormat="1" ht="18" customHeight="1">
      <c r="A40" s="178" t="s">
        <v>211</v>
      </c>
      <c r="B40" s="162">
        <v>3112</v>
      </c>
      <c r="C40" s="163">
        <f t="shared" si="13"/>
        <v>42.99</v>
      </c>
      <c r="D40" s="164">
        <f t="shared" si="14"/>
        <v>0.01381426735218509</v>
      </c>
      <c r="E40" s="818">
        <v>0</v>
      </c>
      <c r="F40" s="165">
        <v>42.99</v>
      </c>
      <c r="G40" s="163">
        <f t="shared" si="15"/>
        <v>1548</v>
      </c>
      <c r="H40" s="166">
        <v>1250</v>
      </c>
      <c r="I40" s="166">
        <v>298</v>
      </c>
      <c r="J40" s="167">
        <f t="shared" si="16"/>
        <v>1521.0100000000002</v>
      </c>
      <c r="K40" s="112"/>
    </row>
    <row r="41" spans="1:11" s="109" customFormat="1" ht="18" customHeight="1">
      <c r="A41" s="819" t="s">
        <v>182</v>
      </c>
      <c r="B41" s="820">
        <v>27457</v>
      </c>
      <c r="C41" s="821">
        <f>E41+F41</f>
        <v>19913.75</v>
      </c>
      <c r="D41" s="822">
        <f aca="true" t="shared" si="17" ref="D41:D55">C41/B41</f>
        <v>0.7252704228429908</v>
      </c>
      <c r="E41" s="823">
        <v>6259.36</v>
      </c>
      <c r="F41" s="824">
        <v>13654.39</v>
      </c>
      <c r="G41" s="821">
        <f t="shared" si="15"/>
        <v>1701</v>
      </c>
      <c r="H41" s="823">
        <v>521</v>
      </c>
      <c r="I41" s="823">
        <v>1180</v>
      </c>
      <c r="J41" s="825">
        <f>B41-C41-G41</f>
        <v>5842.25</v>
      </c>
      <c r="K41" s="112"/>
    </row>
    <row r="42" spans="1:11" s="109" customFormat="1" ht="18" customHeight="1">
      <c r="A42" s="157" t="s">
        <v>179</v>
      </c>
      <c r="B42" s="152">
        <v>20823</v>
      </c>
      <c r="C42" s="153">
        <f>E42+F42</f>
        <v>17144.15</v>
      </c>
      <c r="D42" s="154">
        <f t="shared" si="17"/>
        <v>0.8233275704749556</v>
      </c>
      <c r="E42" s="155">
        <v>1219.46</v>
      </c>
      <c r="F42" s="450">
        <v>15924.69</v>
      </c>
      <c r="G42" s="102">
        <f t="shared" si="15"/>
        <v>1190</v>
      </c>
      <c r="H42" s="155">
        <v>245</v>
      </c>
      <c r="I42" s="155">
        <v>945</v>
      </c>
      <c r="J42" s="156">
        <f>B42-C42-G42</f>
        <v>2488.8499999999985</v>
      </c>
      <c r="K42" s="112"/>
    </row>
    <row r="43" spans="1:11" s="109" customFormat="1" ht="26.25" customHeight="1">
      <c r="A43" s="171" t="s">
        <v>87</v>
      </c>
      <c r="B43" s="172">
        <f>B44+B47+B51</f>
        <v>170086</v>
      </c>
      <c r="C43" s="173">
        <f>C44+C47+C51</f>
        <v>110728.13</v>
      </c>
      <c r="D43" s="174">
        <f t="shared" si="17"/>
        <v>0.6510126053878627</v>
      </c>
      <c r="E43" s="176">
        <f>E44+E47+E51</f>
        <v>29104.690000000002</v>
      </c>
      <c r="F43" s="175">
        <f>F44+F47+F51</f>
        <v>81623.44</v>
      </c>
      <c r="G43" s="800">
        <v>18500</v>
      </c>
      <c r="H43" s="176">
        <v>6220</v>
      </c>
      <c r="I43" s="176">
        <v>12300</v>
      </c>
      <c r="J43" s="177">
        <f>J44+J47+J51</f>
        <v>40863.869999999995</v>
      </c>
      <c r="K43" s="112"/>
    </row>
    <row r="44" spans="1:11" s="109" customFormat="1" ht="18" customHeight="1">
      <c r="A44" s="144" t="s">
        <v>378</v>
      </c>
      <c r="B44" s="145">
        <f>SUM(B45:B46)</f>
        <v>73570</v>
      </c>
      <c r="C44" s="146">
        <f>SUM(C45:C46)</f>
        <v>37970.850000000006</v>
      </c>
      <c r="D44" s="147">
        <f>C44/B44</f>
        <v>0.516118662498301</v>
      </c>
      <c r="E44" s="149">
        <f aca="true" t="shared" si="18" ref="E44:J44">SUM(E45:E46)</f>
        <v>10975.85</v>
      </c>
      <c r="F44" s="149">
        <f t="shared" si="18"/>
        <v>26995</v>
      </c>
      <c r="G44" s="798">
        <f t="shared" si="18"/>
        <v>11174</v>
      </c>
      <c r="H44" s="149">
        <f t="shared" si="18"/>
        <v>4247</v>
      </c>
      <c r="I44" s="149">
        <f t="shared" si="18"/>
        <v>6927</v>
      </c>
      <c r="J44" s="150">
        <f t="shared" si="18"/>
        <v>24425.149999999998</v>
      </c>
      <c r="K44" s="112"/>
    </row>
    <row r="45" spans="1:13" s="109" customFormat="1" ht="18" customHeight="1">
      <c r="A45" s="151" t="s">
        <v>212</v>
      </c>
      <c r="B45" s="152">
        <v>45936</v>
      </c>
      <c r="C45" s="153">
        <f>E45+F45</f>
        <v>21057.9</v>
      </c>
      <c r="D45" s="154">
        <f t="shared" si="17"/>
        <v>0.4584182340647858</v>
      </c>
      <c r="E45" s="155">
        <v>3560.9</v>
      </c>
      <c r="F45" s="450">
        <v>17497</v>
      </c>
      <c r="G45" s="102">
        <f>SUM(H45:I45)</f>
        <v>7234</v>
      </c>
      <c r="H45" s="155">
        <v>3147</v>
      </c>
      <c r="I45" s="155">
        <v>4087</v>
      </c>
      <c r="J45" s="156">
        <f>B45-C45-G45</f>
        <v>17644.1</v>
      </c>
      <c r="K45" s="112"/>
      <c r="M45" s="109">
        <f>G44+G47+G51</f>
        <v>18494</v>
      </c>
    </row>
    <row r="46" spans="1:13" s="109" customFormat="1" ht="18" customHeight="1">
      <c r="A46" s="157" t="s">
        <v>213</v>
      </c>
      <c r="B46" s="158">
        <v>27634</v>
      </c>
      <c r="C46" s="102">
        <f>E46+F46</f>
        <v>16912.95</v>
      </c>
      <c r="D46" s="159">
        <f t="shared" si="17"/>
        <v>0.6120340884417746</v>
      </c>
      <c r="E46" s="155">
        <v>7414.95</v>
      </c>
      <c r="F46" s="451">
        <v>9498</v>
      </c>
      <c r="G46" s="102">
        <f>SUM(H46:I46)</f>
        <v>3940</v>
      </c>
      <c r="H46" s="452">
        <v>1100</v>
      </c>
      <c r="I46" s="452">
        <v>2840</v>
      </c>
      <c r="J46" s="161">
        <f>B46-C46-G46</f>
        <v>6781.049999999999</v>
      </c>
      <c r="K46" s="112"/>
      <c r="M46" s="109">
        <f>H44+H47+H51</f>
        <v>6225</v>
      </c>
    </row>
    <row r="47" spans="1:13" s="109" customFormat="1" ht="18" customHeight="1">
      <c r="A47" s="144" t="s">
        <v>375</v>
      </c>
      <c r="B47" s="145">
        <f>SUM(B48:B50)</f>
        <v>47664</v>
      </c>
      <c r="C47" s="146">
        <f>SUM(C48:C50)</f>
        <v>37985.340000000004</v>
      </c>
      <c r="D47" s="147">
        <f>C47/B47</f>
        <v>0.7969398288016114</v>
      </c>
      <c r="E47" s="149">
        <f aca="true" t="shared" si="19" ref="E47:J47">SUM(E48:E50)</f>
        <v>9540.44</v>
      </c>
      <c r="F47" s="148">
        <f t="shared" si="19"/>
        <v>28444.9</v>
      </c>
      <c r="G47" s="801">
        <f t="shared" si="19"/>
        <v>2558</v>
      </c>
      <c r="H47" s="149">
        <f t="shared" si="19"/>
        <v>1020</v>
      </c>
      <c r="I47" s="149">
        <f t="shared" si="19"/>
        <v>1538</v>
      </c>
      <c r="J47" s="150">
        <f t="shared" si="19"/>
        <v>7120.659999999998</v>
      </c>
      <c r="K47" s="112"/>
      <c r="M47" s="109">
        <f>J44+J47+J51</f>
        <v>40863.869999999995</v>
      </c>
    </row>
    <row r="48" spans="1:13" s="109" customFormat="1" ht="18" customHeight="1">
      <c r="A48" s="151" t="s">
        <v>214</v>
      </c>
      <c r="B48" s="152">
        <v>18009</v>
      </c>
      <c r="C48" s="153">
        <f>E48+F48</f>
        <v>10489.59</v>
      </c>
      <c r="D48" s="154">
        <f t="shared" si="17"/>
        <v>0.582463768115942</v>
      </c>
      <c r="E48" s="155">
        <v>227.89</v>
      </c>
      <c r="F48" s="450">
        <v>10261.7</v>
      </c>
      <c r="G48" s="153">
        <f>SUM(H48:I48)</f>
        <v>2250</v>
      </c>
      <c r="H48" s="155">
        <v>1020</v>
      </c>
      <c r="I48" s="155">
        <v>1230</v>
      </c>
      <c r="J48" s="156">
        <f>B48-C48-G48</f>
        <v>5269.41</v>
      </c>
      <c r="K48" s="112"/>
      <c r="M48" s="109">
        <f>H44+H47+H51</f>
        <v>6225</v>
      </c>
    </row>
    <row r="49" spans="1:13" s="109" customFormat="1" ht="18" customHeight="1">
      <c r="A49" s="178" t="s">
        <v>215</v>
      </c>
      <c r="B49" s="162">
        <v>18186</v>
      </c>
      <c r="C49" s="163">
        <f>E49+F49</f>
        <v>17369.4</v>
      </c>
      <c r="D49" s="164">
        <f t="shared" si="17"/>
        <v>0.9550973276146487</v>
      </c>
      <c r="E49" s="155">
        <v>7455.28</v>
      </c>
      <c r="F49" s="165">
        <v>9914.12</v>
      </c>
      <c r="G49" s="102">
        <f>SUM(H49:I49)</f>
        <v>95</v>
      </c>
      <c r="H49" s="166">
        <v>0</v>
      </c>
      <c r="I49" s="166">
        <v>95</v>
      </c>
      <c r="J49" s="167">
        <f>B49-C49-G49</f>
        <v>721.5999999999985</v>
      </c>
      <c r="K49" s="112"/>
      <c r="M49" s="109">
        <f>I44+I47+I51</f>
        <v>12269</v>
      </c>
    </row>
    <row r="50" spans="1:11" s="109" customFormat="1" ht="18" customHeight="1">
      <c r="A50" s="178" t="s">
        <v>88</v>
      </c>
      <c r="B50" s="162">
        <v>11469</v>
      </c>
      <c r="C50" s="163">
        <f>E50+F50</f>
        <v>10126.35</v>
      </c>
      <c r="D50" s="164">
        <f t="shared" si="17"/>
        <v>0.8829322521579911</v>
      </c>
      <c r="E50" s="155">
        <v>1857.27</v>
      </c>
      <c r="F50" s="165">
        <v>8269.08</v>
      </c>
      <c r="G50" s="163">
        <f>SUM(H50:I50)</f>
        <v>213</v>
      </c>
      <c r="H50" s="166">
        <v>0</v>
      </c>
      <c r="I50" s="166">
        <v>213</v>
      </c>
      <c r="J50" s="167">
        <f>B50-C50-G50</f>
        <v>1129.6499999999996</v>
      </c>
      <c r="K50" s="112"/>
    </row>
    <row r="51" spans="1:11" s="109" customFormat="1" ht="18" customHeight="1">
      <c r="A51" s="144" t="s">
        <v>376</v>
      </c>
      <c r="B51" s="145">
        <f>SUM(B52:B55)</f>
        <v>48852</v>
      </c>
      <c r="C51" s="146">
        <f>SUM(C52:C55)</f>
        <v>34771.94</v>
      </c>
      <c r="D51" s="147">
        <f>C51/B51</f>
        <v>0.7117812986162286</v>
      </c>
      <c r="E51" s="149">
        <f aca="true" t="shared" si="20" ref="E51:J51">SUM(E52:E55)</f>
        <v>8588.4</v>
      </c>
      <c r="F51" s="148">
        <f t="shared" si="20"/>
        <v>26183.54</v>
      </c>
      <c r="G51" s="146">
        <f t="shared" si="20"/>
        <v>4762</v>
      </c>
      <c r="H51" s="149">
        <f t="shared" si="20"/>
        <v>958</v>
      </c>
      <c r="I51" s="149">
        <f t="shared" si="20"/>
        <v>3804</v>
      </c>
      <c r="J51" s="150">
        <f t="shared" si="20"/>
        <v>9318.059999999998</v>
      </c>
      <c r="K51" s="112"/>
    </row>
    <row r="52" spans="1:11" s="109" customFormat="1" ht="18" customHeight="1">
      <c r="A52" s="151" t="s">
        <v>216</v>
      </c>
      <c r="B52" s="152">
        <v>12290</v>
      </c>
      <c r="C52" s="153">
        <f>E52+F52</f>
        <v>4762.49</v>
      </c>
      <c r="D52" s="154">
        <f t="shared" si="17"/>
        <v>0.3875093572009764</v>
      </c>
      <c r="E52" s="155">
        <v>606.12</v>
      </c>
      <c r="F52" s="450">
        <v>4156.37</v>
      </c>
      <c r="G52" s="153">
        <f>SUM(H52:I52)</f>
        <v>2687</v>
      </c>
      <c r="H52" s="155">
        <v>737</v>
      </c>
      <c r="I52" s="155">
        <v>1950</v>
      </c>
      <c r="J52" s="156">
        <f>B52-C52-G52</f>
        <v>4840.51</v>
      </c>
      <c r="K52" s="112"/>
    </row>
    <row r="53" spans="1:11" s="109" customFormat="1" ht="18" customHeight="1">
      <c r="A53" s="157" t="s">
        <v>217</v>
      </c>
      <c r="B53" s="158">
        <v>18827</v>
      </c>
      <c r="C53" s="102">
        <f>E53+F53</f>
        <v>16109.060000000001</v>
      </c>
      <c r="D53" s="159">
        <f t="shared" si="17"/>
        <v>0.8556360546024327</v>
      </c>
      <c r="E53" s="155">
        <v>3637.52</v>
      </c>
      <c r="F53" s="451">
        <v>12471.54</v>
      </c>
      <c r="G53" s="102">
        <f>SUM(H53:I53)</f>
        <v>873</v>
      </c>
      <c r="H53" s="452">
        <v>43</v>
      </c>
      <c r="I53" s="452">
        <v>830</v>
      </c>
      <c r="J53" s="161">
        <f>B53-C53-G53</f>
        <v>1844.9399999999987</v>
      </c>
      <c r="K53" s="112"/>
    </row>
    <row r="54" spans="1:11" s="109" customFormat="1" ht="18" customHeight="1">
      <c r="A54" s="157" t="s">
        <v>218</v>
      </c>
      <c r="B54" s="158">
        <v>11878</v>
      </c>
      <c r="C54" s="102">
        <f>E54+F54</f>
        <v>10745.28</v>
      </c>
      <c r="D54" s="159">
        <f t="shared" si="17"/>
        <v>0.9046371443003873</v>
      </c>
      <c r="E54" s="155">
        <v>3735.03</v>
      </c>
      <c r="F54" s="451">
        <v>7010.25</v>
      </c>
      <c r="G54" s="102">
        <f>SUM(H54:I54)</f>
        <v>147</v>
      </c>
      <c r="H54" s="458">
        <v>0</v>
      </c>
      <c r="I54" s="452">
        <v>147</v>
      </c>
      <c r="J54" s="161">
        <f>B54-C54-G54</f>
        <v>985.7199999999993</v>
      </c>
      <c r="K54" s="112"/>
    </row>
    <row r="55" spans="1:11" s="109" customFormat="1" ht="18" customHeight="1" thickBot="1">
      <c r="A55" s="460" t="s">
        <v>219</v>
      </c>
      <c r="B55" s="461">
        <v>5857</v>
      </c>
      <c r="C55" s="73">
        <f>E55+F55</f>
        <v>3155.11</v>
      </c>
      <c r="D55" s="168">
        <f t="shared" si="17"/>
        <v>0.5386904558647773</v>
      </c>
      <c r="E55" s="524">
        <v>609.73</v>
      </c>
      <c r="F55" s="104">
        <v>2545.38</v>
      </c>
      <c r="G55" s="817">
        <f>SUM(H55:I55)</f>
        <v>1055</v>
      </c>
      <c r="H55" s="524">
        <v>178</v>
      </c>
      <c r="I55" s="169">
        <v>877</v>
      </c>
      <c r="J55" s="170">
        <f>B55-C55-G55</f>
        <v>1646.8899999999999</v>
      </c>
      <c r="K55" s="112"/>
    </row>
    <row r="56" s="109" customFormat="1" ht="12"/>
    <row r="57" s="109" customFormat="1" ht="12"/>
    <row r="58" s="109" customFormat="1" ht="12"/>
  </sheetData>
  <sheetProtection/>
  <mergeCells count="5">
    <mergeCell ref="J5:J6"/>
    <mergeCell ref="A5:A6"/>
    <mergeCell ref="B5:B6"/>
    <mergeCell ref="C5:F5"/>
    <mergeCell ref="G5:I5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144"/>
  <sheetViews>
    <sheetView view="pageBreakPreview" zoomScale="80" zoomScaleSheetLayoutView="80" zoomScalePageLayoutView="0" workbookViewId="0" topLeftCell="A1">
      <pane xSplit="2" ySplit="10" topLeftCell="H11" activePane="bottomRight" state="frozen"/>
      <selection pane="topLeft" activeCell="H55" sqref="H55"/>
      <selection pane="topRight" activeCell="H55" sqref="H55"/>
      <selection pane="bottomLeft" activeCell="H55" sqref="H55"/>
      <selection pane="bottomRight" activeCell="M70" sqref="M70"/>
    </sheetView>
  </sheetViews>
  <sheetFormatPr defaultColWidth="10.75390625" defaultRowHeight="13.5"/>
  <cols>
    <col min="1" max="1" width="4.625" style="187" customWidth="1"/>
    <col min="2" max="2" width="21.875" style="187" customWidth="1"/>
    <col min="3" max="10" width="12.625" style="187" customWidth="1"/>
    <col min="11" max="18" width="12.625" style="188" customWidth="1"/>
    <col min="19" max="19" width="4.625" style="189" bestFit="1" customWidth="1"/>
    <col min="20" max="20" width="10.75390625" style="190" customWidth="1"/>
    <col min="21" max="16384" width="10.75390625" style="187" customWidth="1"/>
  </cols>
  <sheetData>
    <row r="1" spans="1:20" s="182" customFormat="1" ht="14.25" customHeight="1">
      <c r="A1" s="180" t="s">
        <v>132</v>
      </c>
      <c r="B1" s="181"/>
      <c r="K1" s="183"/>
      <c r="L1" s="183"/>
      <c r="M1" s="183"/>
      <c r="N1" s="183"/>
      <c r="O1" s="183"/>
      <c r="P1" s="183"/>
      <c r="Q1" s="183"/>
      <c r="R1" s="183"/>
      <c r="S1" s="184"/>
      <c r="T1" s="185"/>
    </row>
    <row r="2" spans="1:2" ht="12" customHeight="1">
      <c r="A2" s="186"/>
      <c r="B2" s="186"/>
    </row>
    <row r="3" spans="1:20" s="181" customFormat="1" ht="12" customHeight="1">
      <c r="A3" s="181" t="s">
        <v>220</v>
      </c>
      <c r="K3" s="191"/>
      <c r="L3" s="191"/>
      <c r="M3" s="191"/>
      <c r="N3" s="191"/>
      <c r="O3" s="191"/>
      <c r="P3" s="191"/>
      <c r="Q3" s="191"/>
      <c r="R3" s="191"/>
      <c r="S3" s="192"/>
      <c r="T3" s="193"/>
    </row>
    <row r="4" spans="11:20" s="194" customFormat="1" ht="12.75" thickBot="1">
      <c r="K4" s="195"/>
      <c r="L4" s="195"/>
      <c r="M4" s="195"/>
      <c r="N4" s="195"/>
      <c r="O4" s="195"/>
      <c r="P4" s="195"/>
      <c r="Q4" s="195"/>
      <c r="R4" s="195" t="s">
        <v>17</v>
      </c>
      <c r="S4" s="196"/>
      <c r="T4" s="197"/>
    </row>
    <row r="5" spans="1:20" s="194" customFormat="1" ht="18.75" customHeight="1">
      <c r="A5" s="938" t="s">
        <v>60</v>
      </c>
      <c r="B5" s="939"/>
      <c r="C5" s="198"/>
      <c r="D5" s="198"/>
      <c r="E5" s="199" t="s">
        <v>89</v>
      </c>
      <c r="F5" s="199"/>
      <c r="G5" s="199"/>
      <c r="H5" s="199"/>
      <c r="I5" s="198"/>
      <c r="J5" s="199"/>
      <c r="K5" s="200"/>
      <c r="L5" s="200" t="s">
        <v>90</v>
      </c>
      <c r="M5" s="200"/>
      <c r="N5" s="200"/>
      <c r="O5" s="200"/>
      <c r="P5" s="200"/>
      <c r="Q5" s="200"/>
      <c r="R5" s="201" t="s">
        <v>91</v>
      </c>
      <c r="S5" s="202"/>
      <c r="T5" s="197"/>
    </row>
    <row r="6" spans="1:20" s="194" customFormat="1" ht="18.75" customHeight="1">
      <c r="A6" s="940"/>
      <c r="B6" s="941"/>
      <c r="C6" s="203" t="s">
        <v>92</v>
      </c>
      <c r="D6" s="944" t="s">
        <v>92</v>
      </c>
      <c r="E6" s="946" t="s">
        <v>93</v>
      </c>
      <c r="F6" s="947"/>
      <c r="G6" s="948"/>
      <c r="H6" s="944" t="s">
        <v>94</v>
      </c>
      <c r="I6" s="944" t="s">
        <v>92</v>
      </c>
      <c r="J6" s="946" t="s">
        <v>95</v>
      </c>
      <c r="K6" s="947"/>
      <c r="L6" s="947"/>
      <c r="M6" s="948"/>
      <c r="N6" s="935" t="s">
        <v>133</v>
      </c>
      <c r="O6" s="936"/>
      <c r="P6" s="936"/>
      <c r="Q6" s="936"/>
      <c r="R6" s="937"/>
      <c r="S6" s="204"/>
      <c r="T6" s="197"/>
    </row>
    <row r="7" spans="1:20" s="196" customFormat="1" ht="18.75" customHeight="1" thickBot="1">
      <c r="A7" s="942"/>
      <c r="B7" s="943"/>
      <c r="C7" s="205"/>
      <c r="D7" s="945"/>
      <c r="E7" s="206" t="s">
        <v>92</v>
      </c>
      <c r="F7" s="206" t="s">
        <v>14</v>
      </c>
      <c r="G7" s="206" t="s">
        <v>96</v>
      </c>
      <c r="H7" s="945"/>
      <c r="I7" s="945"/>
      <c r="J7" s="860" t="s">
        <v>92</v>
      </c>
      <c r="K7" s="207" t="s">
        <v>97</v>
      </c>
      <c r="L7" s="207" t="s">
        <v>98</v>
      </c>
      <c r="M7" s="207" t="s">
        <v>99</v>
      </c>
      <c r="N7" s="207" t="s">
        <v>221</v>
      </c>
      <c r="O7" s="207" t="s">
        <v>250</v>
      </c>
      <c r="P7" s="207" t="s">
        <v>13</v>
      </c>
      <c r="Q7" s="207" t="s">
        <v>100</v>
      </c>
      <c r="R7" s="208" t="s">
        <v>101</v>
      </c>
      <c r="S7" s="209"/>
      <c r="T7" s="210"/>
    </row>
    <row r="8" spans="1:20" s="194" customFormat="1" ht="18" customHeight="1">
      <c r="A8" s="929" t="s">
        <v>242</v>
      </c>
      <c r="B8" s="930"/>
      <c r="C8" s="211">
        <v>424021</v>
      </c>
      <c r="D8" s="211">
        <v>197272</v>
      </c>
      <c r="E8" s="211">
        <v>195574</v>
      </c>
      <c r="F8" s="212">
        <v>195204</v>
      </c>
      <c r="G8" s="212">
        <v>369</v>
      </c>
      <c r="H8" s="211">
        <v>1698</v>
      </c>
      <c r="I8" s="213">
        <v>226749</v>
      </c>
      <c r="J8" s="213">
        <v>19810</v>
      </c>
      <c r="K8" s="214">
        <v>6737</v>
      </c>
      <c r="L8" s="214">
        <v>12905</v>
      </c>
      <c r="M8" s="214">
        <v>168</v>
      </c>
      <c r="N8" s="214">
        <v>206938</v>
      </c>
      <c r="O8" s="214">
        <v>6321</v>
      </c>
      <c r="P8" s="214">
        <v>4833</v>
      </c>
      <c r="Q8" s="214">
        <v>48990</v>
      </c>
      <c r="R8" s="215">
        <v>146796</v>
      </c>
      <c r="S8" s="196" t="s">
        <v>243</v>
      </c>
      <c r="T8" s="197"/>
    </row>
    <row r="9" spans="1:20" s="194" customFormat="1" ht="18" customHeight="1">
      <c r="A9" s="929" t="s">
        <v>244</v>
      </c>
      <c r="B9" s="930"/>
      <c r="C9" s="211">
        <v>424463.62</v>
      </c>
      <c r="D9" s="211">
        <v>197030.42</v>
      </c>
      <c r="E9" s="211">
        <v>195332.42</v>
      </c>
      <c r="F9" s="211">
        <v>194980.19</v>
      </c>
      <c r="G9" s="211">
        <v>352.23</v>
      </c>
      <c r="H9" s="211">
        <v>1698</v>
      </c>
      <c r="I9" s="213">
        <v>227433.2</v>
      </c>
      <c r="J9" s="213">
        <v>20482.74</v>
      </c>
      <c r="K9" s="214">
        <v>6652.35</v>
      </c>
      <c r="L9" s="214">
        <v>13661.97</v>
      </c>
      <c r="M9" s="214">
        <v>168.42</v>
      </c>
      <c r="N9" s="214">
        <v>206950.46</v>
      </c>
      <c r="O9" s="214">
        <v>6617.99</v>
      </c>
      <c r="P9" s="214">
        <v>5067.7</v>
      </c>
      <c r="Q9" s="214">
        <v>46497.86</v>
      </c>
      <c r="R9" s="215">
        <v>148766.91</v>
      </c>
      <c r="S9" s="196" t="s">
        <v>245</v>
      </c>
      <c r="T9" s="197"/>
    </row>
    <row r="10" spans="1:20" s="221" customFormat="1" ht="18" customHeight="1" thickBot="1">
      <c r="A10" s="931" t="s">
        <v>383</v>
      </c>
      <c r="B10" s="932"/>
      <c r="C10" s="216">
        <f>D10+I10</f>
        <v>425054.20000000007</v>
      </c>
      <c r="D10" s="216">
        <f>E10+H10</f>
        <v>196821.00000000003</v>
      </c>
      <c r="E10" s="216">
        <f>F10+G10</f>
        <v>195153.00000000003</v>
      </c>
      <c r="F10" s="216">
        <f>F11+F18+F26+F44</f>
        <v>194810.24000000002</v>
      </c>
      <c r="G10" s="216">
        <f>G11+G18+G26+G44</f>
        <v>342.76</v>
      </c>
      <c r="H10" s="216">
        <f>H11+H18+H26+H44</f>
        <v>1668</v>
      </c>
      <c r="I10" s="217">
        <f>J10+N10</f>
        <v>228233.2</v>
      </c>
      <c r="J10" s="861">
        <f>SUM(K10:M10)</f>
        <v>21236.38</v>
      </c>
      <c r="K10" s="218">
        <f>+K11+K18+K26+K44</f>
        <v>6969.460000000001</v>
      </c>
      <c r="L10" s="218">
        <f>+L11+L18+L26+L44</f>
        <v>14114.93</v>
      </c>
      <c r="M10" s="218">
        <f>+M11+M18+M26+M44</f>
        <v>151.99</v>
      </c>
      <c r="N10" s="218">
        <f>SUM(O10:R10)</f>
        <v>206996.82</v>
      </c>
      <c r="O10" s="218">
        <f>+O11+O18+O26+O44</f>
        <v>6795.639999999999</v>
      </c>
      <c r="P10" s="218">
        <f>+P11+P18+P26+P44</f>
        <v>5029.78</v>
      </c>
      <c r="Q10" s="218">
        <f>+Q11+Q18+Q26+Q44</f>
        <v>45654.72</v>
      </c>
      <c r="R10" s="219">
        <f>+R11+R18+R26+R44</f>
        <v>149516.68</v>
      </c>
      <c r="S10" s="542" t="s">
        <v>402</v>
      </c>
      <c r="T10" s="220"/>
    </row>
    <row r="11" spans="1:20" s="504" customFormat="1" ht="24" customHeight="1">
      <c r="A11" s="933" t="s">
        <v>134</v>
      </c>
      <c r="B11" s="934"/>
      <c r="C11" s="495">
        <f>D11+I11</f>
        <v>151746.57</v>
      </c>
      <c r="D11" s="496">
        <f aca="true" t="shared" si="0" ref="D11:D17">E11+H11</f>
        <v>97488.95</v>
      </c>
      <c r="E11" s="495">
        <f>F11+G11</f>
        <v>97488.95</v>
      </c>
      <c r="F11" s="495">
        <f>F12</f>
        <v>97236.62</v>
      </c>
      <c r="G11" s="495">
        <f>G12</f>
        <v>252.32999999999998</v>
      </c>
      <c r="H11" s="495">
        <f>H12</f>
        <v>0</v>
      </c>
      <c r="I11" s="497">
        <f>J11+N11</f>
        <v>54257.619999999995</v>
      </c>
      <c r="J11" s="500">
        <f>SUM(K11:M11)</f>
        <v>2175.88</v>
      </c>
      <c r="K11" s="499">
        <f>K12</f>
        <v>469.82000000000005</v>
      </c>
      <c r="L11" s="499">
        <f>L12</f>
        <v>1706.0600000000002</v>
      </c>
      <c r="M11" s="499">
        <v>0</v>
      </c>
      <c r="N11" s="500">
        <f>SUM(O11:R11)</f>
        <v>52081.74</v>
      </c>
      <c r="O11" s="499">
        <f>O12</f>
        <v>1540.8600000000001</v>
      </c>
      <c r="P11" s="499">
        <f>P12</f>
        <v>820.54</v>
      </c>
      <c r="Q11" s="499">
        <f>Q12</f>
        <v>26023.71</v>
      </c>
      <c r="R11" s="501">
        <f>R12</f>
        <v>23696.629999999997</v>
      </c>
      <c r="S11" s="502"/>
      <c r="T11" s="503"/>
    </row>
    <row r="12" spans="1:20" s="504" customFormat="1" ht="18" customHeight="1">
      <c r="A12" s="927" t="s">
        <v>380</v>
      </c>
      <c r="B12" s="928"/>
      <c r="C12" s="505">
        <f>SUM(C13:C17)</f>
        <v>151746.57</v>
      </c>
      <c r="D12" s="505">
        <f t="shared" si="0"/>
        <v>97488.95000000001</v>
      </c>
      <c r="E12" s="505">
        <f aca="true" t="shared" si="1" ref="E12:L12">SUM(E13:E17)</f>
        <v>97488.95000000001</v>
      </c>
      <c r="F12" s="505">
        <f t="shared" si="1"/>
        <v>97236.62</v>
      </c>
      <c r="G12" s="505">
        <f t="shared" si="1"/>
        <v>252.32999999999998</v>
      </c>
      <c r="H12" s="505">
        <f t="shared" si="1"/>
        <v>0</v>
      </c>
      <c r="I12" s="506">
        <f t="shared" si="1"/>
        <v>54257.62</v>
      </c>
      <c r="J12" s="506">
        <f t="shared" si="1"/>
        <v>2175.88</v>
      </c>
      <c r="K12" s="507">
        <f t="shared" si="1"/>
        <v>469.82000000000005</v>
      </c>
      <c r="L12" s="507">
        <f t="shared" si="1"/>
        <v>1706.0600000000002</v>
      </c>
      <c r="M12" s="507">
        <f aca="true" t="shared" si="2" ref="M12:R12">SUM(M13:M17)</f>
        <v>0</v>
      </c>
      <c r="N12" s="507">
        <f t="shared" si="2"/>
        <v>52081.740000000005</v>
      </c>
      <c r="O12" s="507">
        <f t="shared" si="2"/>
        <v>1540.8600000000001</v>
      </c>
      <c r="P12" s="507">
        <f t="shared" si="2"/>
        <v>820.54</v>
      </c>
      <c r="Q12" s="507">
        <f t="shared" si="2"/>
        <v>26023.71</v>
      </c>
      <c r="R12" s="508">
        <f t="shared" si="2"/>
        <v>23696.629999999997</v>
      </c>
      <c r="S12" s="509"/>
      <c r="T12" s="503"/>
    </row>
    <row r="13" spans="1:20" s="504" customFormat="1" ht="18" customHeight="1">
      <c r="A13" s="802">
        <v>1</v>
      </c>
      <c r="B13" s="439" t="s">
        <v>102</v>
      </c>
      <c r="C13" s="510">
        <f aca="true" t="shared" si="3" ref="C13:C18">D13+I13</f>
        <v>35272.48</v>
      </c>
      <c r="D13" s="510">
        <f t="shared" si="0"/>
        <v>25816.870000000003</v>
      </c>
      <c r="E13" s="510">
        <f aca="true" t="shared" si="4" ref="E13:E21">F13+G13</f>
        <v>25816.870000000003</v>
      </c>
      <c r="F13" s="510">
        <v>25681.9</v>
      </c>
      <c r="G13" s="510">
        <v>134.97</v>
      </c>
      <c r="H13" s="510">
        <v>0</v>
      </c>
      <c r="I13" s="511">
        <f aca="true" t="shared" si="5" ref="I13:I18">J13+N13</f>
        <v>9455.61</v>
      </c>
      <c r="J13" s="511">
        <f aca="true" t="shared" si="6" ref="J13:J18">SUM(K13:M13)</f>
        <v>645.7</v>
      </c>
      <c r="K13" s="512">
        <v>52.98</v>
      </c>
      <c r="L13" s="512">
        <v>592.72</v>
      </c>
      <c r="M13" s="512">
        <v>0</v>
      </c>
      <c r="N13" s="512">
        <f aca="true" t="shared" si="7" ref="N13:N18">SUM(O13:R13)</f>
        <v>8809.91</v>
      </c>
      <c r="O13" s="512">
        <v>215.93</v>
      </c>
      <c r="P13" s="512">
        <v>348</v>
      </c>
      <c r="Q13" s="512">
        <v>869.59</v>
      </c>
      <c r="R13" s="532">
        <v>7376.39</v>
      </c>
      <c r="S13" s="438">
        <v>1</v>
      </c>
      <c r="T13" s="503"/>
    </row>
    <row r="14" spans="1:20" s="504" customFormat="1" ht="18" customHeight="1">
      <c r="A14" s="802">
        <v>2</v>
      </c>
      <c r="B14" s="439" t="s">
        <v>103</v>
      </c>
      <c r="C14" s="510">
        <f t="shared" si="3"/>
        <v>36263.14</v>
      </c>
      <c r="D14" s="510">
        <f t="shared" si="0"/>
        <v>9208.58</v>
      </c>
      <c r="E14" s="510">
        <f t="shared" si="4"/>
        <v>9208.58</v>
      </c>
      <c r="F14" s="510">
        <v>9178.23</v>
      </c>
      <c r="G14" s="510">
        <v>30.35</v>
      </c>
      <c r="H14" s="510">
        <v>0</v>
      </c>
      <c r="I14" s="511">
        <f t="shared" si="5"/>
        <v>27054.56</v>
      </c>
      <c r="J14" s="511">
        <f t="shared" si="6"/>
        <v>499.23</v>
      </c>
      <c r="K14" s="512">
        <v>148.69</v>
      </c>
      <c r="L14" s="512">
        <v>350.54</v>
      </c>
      <c r="M14" s="512">
        <v>0</v>
      </c>
      <c r="N14" s="512">
        <f t="shared" si="7"/>
        <v>26555.33</v>
      </c>
      <c r="O14" s="512">
        <v>1082.68</v>
      </c>
      <c r="P14" s="512">
        <v>113.79</v>
      </c>
      <c r="Q14" s="512">
        <v>22252.23</v>
      </c>
      <c r="R14" s="532">
        <v>3106.63</v>
      </c>
      <c r="S14" s="438">
        <v>2</v>
      </c>
      <c r="T14" s="503"/>
    </row>
    <row r="15" spans="1:20" s="504" customFormat="1" ht="18" customHeight="1">
      <c r="A15" s="802">
        <v>3</v>
      </c>
      <c r="B15" s="439" t="s">
        <v>104</v>
      </c>
      <c r="C15" s="510">
        <f t="shared" si="3"/>
        <v>7399.82</v>
      </c>
      <c r="D15" s="510">
        <f t="shared" si="0"/>
        <v>4410.92</v>
      </c>
      <c r="E15" s="510">
        <f t="shared" si="4"/>
        <v>4410.92</v>
      </c>
      <c r="F15" s="510">
        <v>4410.92</v>
      </c>
      <c r="G15" s="510">
        <v>0</v>
      </c>
      <c r="H15" s="510">
        <v>0</v>
      </c>
      <c r="I15" s="511">
        <f t="shared" si="5"/>
        <v>2988.8999999999996</v>
      </c>
      <c r="J15" s="511">
        <f t="shared" si="6"/>
        <v>271.54</v>
      </c>
      <c r="K15" s="512">
        <v>175.33</v>
      </c>
      <c r="L15" s="512">
        <v>96.21</v>
      </c>
      <c r="M15" s="512">
        <v>0</v>
      </c>
      <c r="N15" s="512">
        <f t="shared" si="7"/>
        <v>2717.3599999999997</v>
      </c>
      <c r="O15" s="512">
        <v>0</v>
      </c>
      <c r="P15" s="512">
        <v>231.01</v>
      </c>
      <c r="Q15" s="512">
        <v>634.04</v>
      </c>
      <c r="R15" s="532">
        <v>1852.31</v>
      </c>
      <c r="S15" s="438">
        <v>3</v>
      </c>
      <c r="T15" s="503"/>
    </row>
    <row r="16" spans="1:20" s="504" customFormat="1" ht="18" customHeight="1">
      <c r="A16" s="802">
        <v>4</v>
      </c>
      <c r="B16" s="439" t="s">
        <v>105</v>
      </c>
      <c r="C16" s="510">
        <f t="shared" si="3"/>
        <v>2623.86</v>
      </c>
      <c r="D16" s="510">
        <f t="shared" si="0"/>
        <v>1185.46</v>
      </c>
      <c r="E16" s="510">
        <f t="shared" si="4"/>
        <v>1185.46</v>
      </c>
      <c r="F16" s="510">
        <v>1185.46</v>
      </c>
      <c r="G16" s="510">
        <v>0</v>
      </c>
      <c r="H16" s="510">
        <v>0</v>
      </c>
      <c r="I16" s="511">
        <f t="shared" si="5"/>
        <v>1438.4</v>
      </c>
      <c r="J16" s="511">
        <f t="shared" si="6"/>
        <v>386.4</v>
      </c>
      <c r="K16" s="512">
        <v>41.72</v>
      </c>
      <c r="L16" s="512">
        <v>344.68</v>
      </c>
      <c r="M16" s="512">
        <v>0</v>
      </c>
      <c r="N16" s="512">
        <f t="shared" si="7"/>
        <v>1052</v>
      </c>
      <c r="O16" s="512">
        <v>0</v>
      </c>
      <c r="P16" s="512">
        <v>0</v>
      </c>
      <c r="Q16" s="512">
        <v>81.96</v>
      </c>
      <c r="R16" s="532">
        <v>970.04</v>
      </c>
      <c r="S16" s="438">
        <v>4</v>
      </c>
      <c r="T16" s="503"/>
    </row>
    <row r="17" spans="1:20" s="504" customFormat="1" ht="18" customHeight="1" thickBot="1">
      <c r="A17" s="802">
        <v>5</v>
      </c>
      <c r="B17" s="439" t="s">
        <v>180</v>
      </c>
      <c r="C17" s="510">
        <f t="shared" si="3"/>
        <v>70187.27</v>
      </c>
      <c r="D17" s="510">
        <f t="shared" si="0"/>
        <v>56867.12</v>
      </c>
      <c r="E17" s="510">
        <f t="shared" si="4"/>
        <v>56867.12</v>
      </c>
      <c r="F17" s="510">
        <v>56780.11</v>
      </c>
      <c r="G17" s="510">
        <v>87.01</v>
      </c>
      <c r="H17" s="510">
        <v>0</v>
      </c>
      <c r="I17" s="511">
        <f t="shared" si="5"/>
        <v>13320.15</v>
      </c>
      <c r="J17" s="511">
        <f t="shared" si="6"/>
        <v>373.01000000000005</v>
      </c>
      <c r="K17" s="512">
        <v>51.1</v>
      </c>
      <c r="L17" s="512">
        <v>321.91</v>
      </c>
      <c r="M17" s="512">
        <v>0</v>
      </c>
      <c r="N17" s="512">
        <f t="shared" si="7"/>
        <v>12947.14</v>
      </c>
      <c r="O17" s="512">
        <v>242.25</v>
      </c>
      <c r="P17" s="512">
        <v>127.74</v>
      </c>
      <c r="Q17" s="512">
        <v>2185.89</v>
      </c>
      <c r="R17" s="532">
        <f>10391.23+0.03</f>
        <v>10391.26</v>
      </c>
      <c r="S17" s="513">
        <v>5</v>
      </c>
      <c r="T17" s="503"/>
    </row>
    <row r="18" spans="1:20" s="504" customFormat="1" ht="24" customHeight="1">
      <c r="A18" s="925" t="s">
        <v>85</v>
      </c>
      <c r="B18" s="926"/>
      <c r="C18" s="495">
        <f t="shared" si="3"/>
        <v>102304.95000000001</v>
      </c>
      <c r="D18" s="495">
        <f>E18+H18</f>
        <v>58239.54</v>
      </c>
      <c r="E18" s="495">
        <f t="shared" si="4"/>
        <v>57993.54</v>
      </c>
      <c r="F18" s="495">
        <f>F19</f>
        <v>57993.54</v>
      </c>
      <c r="G18" s="495">
        <f>G19</f>
        <v>0</v>
      </c>
      <c r="H18" s="495">
        <f>H19</f>
        <v>246</v>
      </c>
      <c r="I18" s="497">
        <f t="shared" si="5"/>
        <v>44065.41</v>
      </c>
      <c r="J18" s="500">
        <f t="shared" si="6"/>
        <v>6179.01</v>
      </c>
      <c r="K18" s="499">
        <f>K19</f>
        <v>809.6500000000001</v>
      </c>
      <c r="L18" s="499">
        <f>L19</f>
        <v>5313.03</v>
      </c>
      <c r="M18" s="499">
        <f>M19</f>
        <v>56.330000000000005</v>
      </c>
      <c r="N18" s="500">
        <f t="shared" si="7"/>
        <v>37886.4</v>
      </c>
      <c r="O18" s="499">
        <f>O19</f>
        <v>1480.62</v>
      </c>
      <c r="P18" s="499">
        <f>P19</f>
        <v>981.18</v>
      </c>
      <c r="Q18" s="499">
        <f>Q19</f>
        <v>4597.92</v>
      </c>
      <c r="R18" s="501">
        <f>R19</f>
        <v>30826.68</v>
      </c>
      <c r="S18" s="514"/>
      <c r="T18" s="503"/>
    </row>
    <row r="19" spans="1:20" s="504" customFormat="1" ht="18" customHeight="1">
      <c r="A19" s="927" t="s">
        <v>185</v>
      </c>
      <c r="B19" s="928"/>
      <c r="C19" s="505">
        <f>SUM(C20:C25)</f>
        <v>102304.95</v>
      </c>
      <c r="D19" s="505">
        <f>SUM(D20:D25)</f>
        <v>58239.54</v>
      </c>
      <c r="E19" s="505">
        <f>SUM(E20:E25)</f>
        <v>57993.54</v>
      </c>
      <c r="F19" s="505">
        <f aca="true" t="shared" si="8" ref="F19:L19">SUM(F20:F25)</f>
        <v>57993.54</v>
      </c>
      <c r="G19" s="505">
        <f t="shared" si="8"/>
        <v>0</v>
      </c>
      <c r="H19" s="505">
        <f>SUM(H20:H25)</f>
        <v>246</v>
      </c>
      <c r="I19" s="506">
        <v>44065</v>
      </c>
      <c r="J19" s="506">
        <f>SUM(J20:J25)</f>
        <v>6179.009999999999</v>
      </c>
      <c r="K19" s="507">
        <f t="shared" si="8"/>
        <v>809.6500000000001</v>
      </c>
      <c r="L19" s="507">
        <f t="shared" si="8"/>
        <v>5313.03</v>
      </c>
      <c r="M19" s="507">
        <f aca="true" t="shared" si="9" ref="M19:R19">SUM(M20:M25)</f>
        <v>56.330000000000005</v>
      </c>
      <c r="N19" s="507">
        <f>SUM(N20:N25)</f>
        <v>37886.399999999994</v>
      </c>
      <c r="O19" s="507">
        <f t="shared" si="9"/>
        <v>1480.62</v>
      </c>
      <c r="P19" s="507">
        <f t="shared" si="9"/>
        <v>981.18</v>
      </c>
      <c r="Q19" s="507">
        <f t="shared" si="9"/>
        <v>4597.92</v>
      </c>
      <c r="R19" s="508">
        <f t="shared" si="9"/>
        <v>30826.68</v>
      </c>
      <c r="S19" s="514"/>
      <c r="T19" s="503"/>
    </row>
    <row r="20" spans="1:20" s="504" customFormat="1" ht="18" customHeight="1">
      <c r="A20" s="802">
        <v>6</v>
      </c>
      <c r="B20" s="440" t="s">
        <v>106</v>
      </c>
      <c r="C20" s="510">
        <f aca="true" t="shared" si="10" ref="C20:C25">D20+I20</f>
        <v>38173.05</v>
      </c>
      <c r="D20" s="510">
        <f aca="true" t="shared" si="11" ref="D20:D25">E20+H20</f>
        <v>30105.56</v>
      </c>
      <c r="E20" s="510">
        <f>F20+G20</f>
        <v>30104.56</v>
      </c>
      <c r="F20" s="510">
        <v>30104.56</v>
      </c>
      <c r="G20" s="510">
        <v>0</v>
      </c>
      <c r="H20" s="510">
        <v>1</v>
      </c>
      <c r="I20" s="511">
        <f>J20+N20</f>
        <v>8067.490000000001</v>
      </c>
      <c r="J20" s="511">
        <f aca="true" t="shared" si="12" ref="J20:J25">SUM(K20:M20)</f>
        <v>768.0100000000001</v>
      </c>
      <c r="K20" s="512">
        <v>38.36</v>
      </c>
      <c r="L20" s="512">
        <v>711.2</v>
      </c>
      <c r="M20" s="512">
        <v>18.45</v>
      </c>
      <c r="N20" s="512">
        <f>SUM(O20:R20)</f>
        <v>7299.4800000000005</v>
      </c>
      <c r="O20" s="512">
        <v>0</v>
      </c>
      <c r="P20" s="512">
        <v>438.18</v>
      </c>
      <c r="Q20" s="512">
        <v>229.24</v>
      </c>
      <c r="R20" s="532">
        <v>6632.06</v>
      </c>
      <c r="S20" s="438">
        <v>6</v>
      </c>
      <c r="T20" s="503"/>
    </row>
    <row r="21" spans="1:20" s="504" customFormat="1" ht="18" customHeight="1">
      <c r="A21" s="802">
        <v>7</v>
      </c>
      <c r="B21" s="440" t="s">
        <v>107</v>
      </c>
      <c r="C21" s="510">
        <f t="shared" si="10"/>
        <v>9687.45</v>
      </c>
      <c r="D21" s="510">
        <f t="shared" si="11"/>
        <v>2350.23</v>
      </c>
      <c r="E21" s="510">
        <f t="shared" si="4"/>
        <v>2349.23</v>
      </c>
      <c r="F21" s="510">
        <v>2349.23</v>
      </c>
      <c r="G21" s="510">
        <v>0</v>
      </c>
      <c r="H21" s="510">
        <v>1</v>
      </c>
      <c r="I21" s="511">
        <f aca="true" t="shared" si="13" ref="I21:I26">J21+N21</f>
        <v>7337.22</v>
      </c>
      <c r="J21" s="511">
        <f t="shared" si="12"/>
        <v>1313.21</v>
      </c>
      <c r="K21" s="512">
        <v>693.2</v>
      </c>
      <c r="L21" s="512">
        <v>617.63</v>
      </c>
      <c r="M21" s="512">
        <v>2.38</v>
      </c>
      <c r="N21" s="512">
        <f aca="true" t="shared" si="14" ref="N21:N26">SUM(O21:R21)</f>
        <v>6024.01</v>
      </c>
      <c r="O21" s="512">
        <v>456.47</v>
      </c>
      <c r="P21" s="512">
        <v>152.96</v>
      </c>
      <c r="Q21" s="512">
        <v>1040.93</v>
      </c>
      <c r="R21" s="532">
        <v>4373.65</v>
      </c>
      <c r="S21" s="438">
        <v>7</v>
      </c>
      <c r="T21" s="503"/>
    </row>
    <row r="22" spans="1:20" s="504" customFormat="1" ht="18" customHeight="1">
      <c r="A22" s="802">
        <v>8</v>
      </c>
      <c r="B22" s="440" t="s">
        <v>108</v>
      </c>
      <c r="C22" s="510">
        <f t="shared" si="10"/>
        <v>25988.29</v>
      </c>
      <c r="D22" s="510">
        <f t="shared" si="11"/>
        <v>14568.12</v>
      </c>
      <c r="E22" s="510">
        <f>F22+G22</f>
        <v>14344.12</v>
      </c>
      <c r="F22" s="510">
        <v>14344.12</v>
      </c>
      <c r="G22" s="510">
        <v>0</v>
      </c>
      <c r="H22" s="510">
        <v>224</v>
      </c>
      <c r="I22" s="511">
        <f t="shared" si="13"/>
        <v>11420.17</v>
      </c>
      <c r="J22" s="511">
        <f t="shared" si="12"/>
        <v>2259.5099999999998</v>
      </c>
      <c r="K22" s="512">
        <v>4.08</v>
      </c>
      <c r="L22" s="512">
        <v>2226.31</v>
      </c>
      <c r="M22" s="512">
        <v>29.12</v>
      </c>
      <c r="N22" s="512">
        <f t="shared" si="14"/>
        <v>9160.66</v>
      </c>
      <c r="O22" s="512">
        <v>0</v>
      </c>
      <c r="P22" s="512">
        <v>88.02</v>
      </c>
      <c r="Q22" s="512">
        <v>2617.01</v>
      </c>
      <c r="R22" s="532">
        <v>6455.63</v>
      </c>
      <c r="S22" s="438">
        <v>8</v>
      </c>
      <c r="T22" s="503"/>
    </row>
    <row r="23" spans="1:20" s="504" customFormat="1" ht="18" customHeight="1">
      <c r="A23" s="802">
        <v>9</v>
      </c>
      <c r="B23" s="440" t="s">
        <v>109</v>
      </c>
      <c r="C23" s="510">
        <f t="shared" si="10"/>
        <v>3892.9199999999996</v>
      </c>
      <c r="D23" s="510">
        <f t="shared" si="11"/>
        <v>3521.7</v>
      </c>
      <c r="E23" s="510">
        <f>F23+G23</f>
        <v>3501.7</v>
      </c>
      <c r="F23" s="510">
        <v>3501.7</v>
      </c>
      <c r="G23" s="510">
        <v>0</v>
      </c>
      <c r="H23" s="510">
        <v>20</v>
      </c>
      <c r="I23" s="511">
        <f t="shared" si="13"/>
        <v>371.21999999999997</v>
      </c>
      <c r="J23" s="511">
        <f t="shared" si="12"/>
        <v>23.12</v>
      </c>
      <c r="K23" s="512">
        <v>0</v>
      </c>
      <c r="L23" s="512">
        <v>23.12</v>
      </c>
      <c r="M23" s="512">
        <v>0</v>
      </c>
      <c r="N23" s="512">
        <f t="shared" si="14"/>
        <v>348.09999999999997</v>
      </c>
      <c r="O23" s="512">
        <v>0</v>
      </c>
      <c r="P23" s="512">
        <v>0</v>
      </c>
      <c r="Q23" s="512">
        <v>99.77</v>
      </c>
      <c r="R23" s="532">
        <v>248.32999999999998</v>
      </c>
      <c r="S23" s="438">
        <v>9</v>
      </c>
      <c r="T23" s="503"/>
    </row>
    <row r="24" spans="1:20" s="504" customFormat="1" ht="18" customHeight="1">
      <c r="A24" s="802">
        <v>10</v>
      </c>
      <c r="B24" s="440" t="s">
        <v>110</v>
      </c>
      <c r="C24" s="510">
        <f t="shared" si="10"/>
        <v>4886.929999999999</v>
      </c>
      <c r="D24" s="510">
        <f t="shared" si="11"/>
        <v>138.72</v>
      </c>
      <c r="E24" s="510">
        <f>F24+G24</f>
        <v>138.72</v>
      </c>
      <c r="F24" s="510">
        <v>138.72</v>
      </c>
      <c r="G24" s="510">
        <v>0</v>
      </c>
      <c r="H24" s="510">
        <v>0</v>
      </c>
      <c r="I24" s="511">
        <f t="shared" si="13"/>
        <v>4748.209999999999</v>
      </c>
      <c r="J24" s="511">
        <f t="shared" si="12"/>
        <v>614.9</v>
      </c>
      <c r="K24" s="512">
        <v>0</v>
      </c>
      <c r="L24" s="512">
        <v>614.9</v>
      </c>
      <c r="M24" s="512">
        <v>0</v>
      </c>
      <c r="N24" s="512">
        <f t="shared" si="14"/>
        <v>4133.3099999999995</v>
      </c>
      <c r="O24" s="512">
        <v>839.32</v>
      </c>
      <c r="P24" s="512">
        <v>68.91</v>
      </c>
      <c r="Q24" s="512">
        <v>105.75</v>
      </c>
      <c r="R24" s="532">
        <v>3119.33</v>
      </c>
      <c r="S24" s="438">
        <v>10</v>
      </c>
      <c r="T24" s="503"/>
    </row>
    <row r="25" spans="1:20" s="504" customFormat="1" ht="18" customHeight="1" thickBot="1">
      <c r="A25" s="803">
        <v>11</v>
      </c>
      <c r="B25" s="477" t="s">
        <v>181</v>
      </c>
      <c r="C25" s="510">
        <f t="shared" si="10"/>
        <v>19676.31</v>
      </c>
      <c r="D25" s="510">
        <f t="shared" si="11"/>
        <v>7555.21</v>
      </c>
      <c r="E25" s="510">
        <f>F25+G25</f>
        <v>7555.21</v>
      </c>
      <c r="F25" s="510">
        <v>7555.21</v>
      </c>
      <c r="G25" s="510">
        <v>0</v>
      </c>
      <c r="H25" s="510">
        <v>0</v>
      </c>
      <c r="I25" s="511">
        <f t="shared" si="13"/>
        <v>12121.1</v>
      </c>
      <c r="J25" s="511">
        <f t="shared" si="12"/>
        <v>1200.26</v>
      </c>
      <c r="K25" s="512">
        <v>74.01</v>
      </c>
      <c r="L25" s="512">
        <v>1119.87</v>
      </c>
      <c r="M25" s="512">
        <v>6.38</v>
      </c>
      <c r="N25" s="512">
        <f t="shared" si="14"/>
        <v>10920.84</v>
      </c>
      <c r="O25" s="512">
        <v>184.83</v>
      </c>
      <c r="P25" s="512">
        <v>233.11</v>
      </c>
      <c r="Q25" s="512">
        <v>505.22</v>
      </c>
      <c r="R25" s="532">
        <v>9997.68</v>
      </c>
      <c r="S25" s="504">
        <v>11</v>
      </c>
      <c r="T25" s="503"/>
    </row>
    <row r="26" spans="1:20" s="504" customFormat="1" ht="24" customHeight="1">
      <c r="A26" s="949" t="s">
        <v>135</v>
      </c>
      <c r="B26" s="950"/>
      <c r="C26" s="499">
        <f aca="true" t="shared" si="15" ref="C26:H26">C27+C34</f>
        <v>59820.76999999999</v>
      </c>
      <c r="D26" s="499">
        <f t="shared" si="15"/>
        <v>11534</v>
      </c>
      <c r="E26" s="499">
        <f t="shared" si="15"/>
        <v>10567</v>
      </c>
      <c r="F26" s="499">
        <f t="shared" si="15"/>
        <v>10566.82</v>
      </c>
      <c r="G26" s="499">
        <f t="shared" si="15"/>
        <v>0</v>
      </c>
      <c r="H26" s="499">
        <f t="shared" si="15"/>
        <v>967</v>
      </c>
      <c r="I26" s="515">
        <f t="shared" si="13"/>
        <v>48286.77</v>
      </c>
      <c r="J26" s="500">
        <f>J27+J34</f>
        <v>6497.18</v>
      </c>
      <c r="K26" s="499">
        <f>K27+K34</f>
        <v>2825.6900000000005</v>
      </c>
      <c r="L26" s="499">
        <f>L27+L34</f>
        <v>3671.4900000000002</v>
      </c>
      <c r="M26" s="499">
        <v>0</v>
      </c>
      <c r="N26" s="500">
        <f t="shared" si="14"/>
        <v>41789.59</v>
      </c>
      <c r="O26" s="499">
        <f>O27+O34</f>
        <v>920.8</v>
      </c>
      <c r="P26" s="499">
        <f>P27+P34</f>
        <v>951.14</v>
      </c>
      <c r="Q26" s="499">
        <f>Q27+Q34</f>
        <v>4102.05</v>
      </c>
      <c r="R26" s="501">
        <f>R27+R34</f>
        <v>35815.6</v>
      </c>
      <c r="S26" s="502"/>
      <c r="T26" s="503"/>
    </row>
    <row r="27" spans="1:20" s="504" customFormat="1" ht="18" customHeight="1">
      <c r="A27" s="927" t="s">
        <v>369</v>
      </c>
      <c r="B27" s="951"/>
      <c r="C27" s="505">
        <f aca="true" t="shared" si="16" ref="C27:L27">SUM(C28:C33)</f>
        <v>21726.429999999997</v>
      </c>
      <c r="D27" s="505">
        <f t="shared" si="16"/>
        <v>4052.18</v>
      </c>
      <c r="E27" s="505">
        <f t="shared" si="16"/>
        <v>3607.18</v>
      </c>
      <c r="F27" s="505">
        <v>3607</v>
      </c>
      <c r="G27" s="505">
        <f t="shared" si="16"/>
        <v>0</v>
      </c>
      <c r="H27" s="505">
        <f t="shared" si="16"/>
        <v>445</v>
      </c>
      <c r="I27" s="516">
        <f t="shared" si="16"/>
        <v>17674.249999999996</v>
      </c>
      <c r="J27" s="506">
        <f t="shared" si="16"/>
        <v>4342.1900000000005</v>
      </c>
      <c r="K27" s="507">
        <f t="shared" si="16"/>
        <v>2631.8900000000003</v>
      </c>
      <c r="L27" s="507">
        <f t="shared" si="16"/>
        <v>1710.3000000000002</v>
      </c>
      <c r="M27" s="507">
        <v>0</v>
      </c>
      <c r="N27" s="507">
        <f>SUM(N28:N33)</f>
        <v>13332.059999999998</v>
      </c>
      <c r="O27" s="507">
        <f>SUM(O28:O33)</f>
        <v>95.58</v>
      </c>
      <c r="P27" s="507">
        <f>SUM(P28:P33)</f>
        <v>71.62</v>
      </c>
      <c r="Q27" s="507">
        <f>SUM(Q28:Q33)</f>
        <v>1832.5199999999998</v>
      </c>
      <c r="R27" s="508">
        <f>SUM(R28:R33)</f>
        <v>11332.339999999998</v>
      </c>
      <c r="S27" s="509" t="s">
        <v>91</v>
      </c>
      <c r="T27" s="503"/>
    </row>
    <row r="28" spans="1:20" s="504" customFormat="1" ht="18" customHeight="1">
      <c r="A28" s="802">
        <v>12</v>
      </c>
      <c r="B28" s="439" t="s">
        <v>111</v>
      </c>
      <c r="C28" s="510">
        <f aca="true" t="shared" si="17" ref="C28:C33">D28+I28</f>
        <v>7425.59</v>
      </c>
      <c r="D28" s="510">
        <f aca="true" t="shared" si="18" ref="D28:D33">E28+H28</f>
        <v>1007.19</v>
      </c>
      <c r="E28" s="510">
        <f aca="true" t="shared" si="19" ref="E28:E33">F28+G28</f>
        <v>1000.19</v>
      </c>
      <c r="F28" s="510">
        <v>1000.19</v>
      </c>
      <c r="G28" s="510">
        <v>0</v>
      </c>
      <c r="H28" s="510">
        <v>7</v>
      </c>
      <c r="I28" s="517">
        <f aca="true" t="shared" si="20" ref="I28:I33">+J28+N28</f>
        <v>6418.4</v>
      </c>
      <c r="J28" s="511">
        <f aca="true" t="shared" si="21" ref="J28:J33">SUM(K28:M28)</f>
        <v>2242.61</v>
      </c>
      <c r="K28" s="553">
        <v>1895.21</v>
      </c>
      <c r="L28" s="553">
        <v>347.4</v>
      </c>
      <c r="M28" s="553">
        <v>0</v>
      </c>
      <c r="N28" s="512">
        <f aca="true" t="shared" si="22" ref="N28:N33">SUM(O28:R28)</f>
        <v>4175.79</v>
      </c>
      <c r="O28" s="553">
        <v>95.58</v>
      </c>
      <c r="P28" s="553">
        <v>48.45</v>
      </c>
      <c r="Q28" s="553">
        <v>802.02</v>
      </c>
      <c r="R28" s="554">
        <v>3229.74</v>
      </c>
      <c r="S28" s="438">
        <v>12</v>
      </c>
      <c r="T28" s="503"/>
    </row>
    <row r="29" spans="1:20" s="504" customFormat="1" ht="16.5" customHeight="1">
      <c r="A29" s="802">
        <v>13</v>
      </c>
      <c r="B29" s="440" t="s">
        <v>116</v>
      </c>
      <c r="C29" s="510">
        <f t="shared" si="17"/>
        <v>24.939999999999998</v>
      </c>
      <c r="D29" s="510">
        <f t="shared" si="18"/>
        <v>0</v>
      </c>
      <c r="E29" s="510">
        <f t="shared" si="19"/>
        <v>0</v>
      </c>
      <c r="F29" s="510">
        <v>0</v>
      </c>
      <c r="G29" s="510">
        <v>0</v>
      </c>
      <c r="H29" s="510">
        <v>0</v>
      </c>
      <c r="I29" s="517">
        <f t="shared" si="20"/>
        <v>24.939999999999998</v>
      </c>
      <c r="J29" s="511">
        <f t="shared" si="21"/>
        <v>12.09</v>
      </c>
      <c r="K29" s="553">
        <v>0</v>
      </c>
      <c r="L29" s="553">
        <v>12.09</v>
      </c>
      <c r="M29" s="553">
        <v>0</v>
      </c>
      <c r="N29" s="512">
        <f t="shared" si="22"/>
        <v>12.85</v>
      </c>
      <c r="O29" s="553">
        <v>0</v>
      </c>
      <c r="P29" s="553">
        <v>0</v>
      </c>
      <c r="Q29" s="553">
        <v>0.93</v>
      </c>
      <c r="R29" s="554">
        <v>11.92</v>
      </c>
      <c r="S29" s="438">
        <v>13</v>
      </c>
      <c r="T29" s="503"/>
    </row>
    <row r="30" spans="1:20" s="504" customFormat="1" ht="16.5" customHeight="1">
      <c r="A30" s="802">
        <v>14</v>
      </c>
      <c r="B30" s="440" t="s">
        <v>119</v>
      </c>
      <c r="C30" s="510">
        <f t="shared" si="17"/>
        <v>19.47</v>
      </c>
      <c r="D30" s="510">
        <f t="shared" si="18"/>
        <v>0</v>
      </c>
      <c r="E30" s="510">
        <f t="shared" si="19"/>
        <v>0</v>
      </c>
      <c r="F30" s="510">
        <v>0</v>
      </c>
      <c r="G30" s="510">
        <v>0</v>
      </c>
      <c r="H30" s="510">
        <v>0</v>
      </c>
      <c r="I30" s="517">
        <f t="shared" si="20"/>
        <v>19.47</v>
      </c>
      <c r="J30" s="511">
        <f t="shared" si="21"/>
        <v>0.1</v>
      </c>
      <c r="K30" s="553">
        <v>0.1</v>
      </c>
      <c r="L30" s="553">
        <v>0</v>
      </c>
      <c r="M30" s="553">
        <v>0</v>
      </c>
      <c r="N30" s="512">
        <f t="shared" si="22"/>
        <v>19.369999999999997</v>
      </c>
      <c r="O30" s="553">
        <v>0</v>
      </c>
      <c r="P30" s="553">
        <v>0</v>
      </c>
      <c r="Q30" s="553">
        <v>0.29</v>
      </c>
      <c r="R30" s="555">
        <v>19.08</v>
      </c>
      <c r="S30" s="438">
        <v>14</v>
      </c>
      <c r="T30" s="503"/>
    </row>
    <row r="31" spans="1:20" s="504" customFormat="1" ht="18" customHeight="1">
      <c r="A31" s="802">
        <v>15</v>
      </c>
      <c r="B31" s="439" t="s">
        <v>112</v>
      </c>
      <c r="C31" s="510">
        <f t="shared" si="17"/>
        <v>12715.99</v>
      </c>
      <c r="D31" s="510">
        <f t="shared" si="18"/>
        <v>2607.99</v>
      </c>
      <c r="E31" s="510">
        <f t="shared" si="19"/>
        <v>2606.99</v>
      </c>
      <c r="F31" s="510">
        <v>2606.99</v>
      </c>
      <c r="G31" s="510">
        <v>0</v>
      </c>
      <c r="H31" s="510">
        <v>1</v>
      </c>
      <c r="I31" s="517">
        <f t="shared" si="20"/>
        <v>10108</v>
      </c>
      <c r="J31" s="511">
        <f t="shared" si="21"/>
        <v>1783.8000000000002</v>
      </c>
      <c r="K31" s="553">
        <v>735.92</v>
      </c>
      <c r="L31" s="553">
        <v>1047.88</v>
      </c>
      <c r="M31" s="553">
        <v>0</v>
      </c>
      <c r="N31" s="512">
        <f t="shared" si="22"/>
        <v>8324.199999999999</v>
      </c>
      <c r="O31" s="553">
        <v>0</v>
      </c>
      <c r="P31" s="553">
        <v>23.17</v>
      </c>
      <c r="Q31" s="553">
        <v>999.79</v>
      </c>
      <c r="R31" s="554">
        <v>7301.24</v>
      </c>
      <c r="S31" s="438">
        <v>15</v>
      </c>
      <c r="T31" s="503"/>
    </row>
    <row r="32" spans="1:20" s="504" customFormat="1" ht="18" customHeight="1">
      <c r="A32" s="802">
        <v>16</v>
      </c>
      <c r="B32" s="439" t="s">
        <v>113</v>
      </c>
      <c r="C32" s="510">
        <f t="shared" si="17"/>
        <v>1189.75</v>
      </c>
      <c r="D32" s="510">
        <f t="shared" si="18"/>
        <v>437</v>
      </c>
      <c r="E32" s="510">
        <f t="shared" si="19"/>
        <v>0</v>
      </c>
      <c r="F32" s="510">
        <v>0</v>
      </c>
      <c r="G32" s="510">
        <v>0</v>
      </c>
      <c r="H32" s="510">
        <v>437</v>
      </c>
      <c r="I32" s="517">
        <f t="shared" si="20"/>
        <v>752.75</v>
      </c>
      <c r="J32" s="511">
        <f t="shared" si="21"/>
        <v>206.62</v>
      </c>
      <c r="K32" s="553">
        <v>0.61</v>
      </c>
      <c r="L32" s="553">
        <v>206.01</v>
      </c>
      <c r="M32" s="553">
        <v>0</v>
      </c>
      <c r="N32" s="512">
        <f t="shared" si="22"/>
        <v>546.13</v>
      </c>
      <c r="O32" s="553">
        <v>0</v>
      </c>
      <c r="P32" s="553">
        <v>0</v>
      </c>
      <c r="Q32" s="553">
        <v>14.67</v>
      </c>
      <c r="R32" s="554">
        <v>531.46</v>
      </c>
      <c r="S32" s="438">
        <v>16</v>
      </c>
      <c r="T32" s="503"/>
    </row>
    <row r="33" spans="1:20" s="504" customFormat="1" ht="18" customHeight="1">
      <c r="A33" s="802">
        <v>17</v>
      </c>
      <c r="B33" s="439" t="s">
        <v>114</v>
      </c>
      <c r="C33" s="510">
        <f t="shared" si="17"/>
        <v>350.69</v>
      </c>
      <c r="D33" s="510">
        <f t="shared" si="18"/>
        <v>0</v>
      </c>
      <c r="E33" s="510">
        <f t="shared" si="19"/>
        <v>0</v>
      </c>
      <c r="F33" s="510">
        <v>0</v>
      </c>
      <c r="G33" s="510">
        <v>0</v>
      </c>
      <c r="H33" s="510">
        <v>0</v>
      </c>
      <c r="I33" s="517">
        <f t="shared" si="20"/>
        <v>350.69</v>
      </c>
      <c r="J33" s="511">
        <f t="shared" si="21"/>
        <v>96.97</v>
      </c>
      <c r="K33" s="553">
        <v>0.05</v>
      </c>
      <c r="L33" s="553">
        <v>96.92</v>
      </c>
      <c r="M33" s="553">
        <v>0</v>
      </c>
      <c r="N33" s="512">
        <f t="shared" si="22"/>
        <v>253.72</v>
      </c>
      <c r="O33" s="553">
        <v>0</v>
      </c>
      <c r="P33" s="553">
        <v>0</v>
      </c>
      <c r="Q33" s="553">
        <v>14.82</v>
      </c>
      <c r="R33" s="554">
        <v>238.9</v>
      </c>
      <c r="S33" s="438">
        <v>17</v>
      </c>
      <c r="T33" s="503"/>
    </row>
    <row r="34" spans="1:20" s="438" customFormat="1" ht="16.5" customHeight="1">
      <c r="A34" s="927" t="s">
        <v>370</v>
      </c>
      <c r="B34" s="952"/>
      <c r="C34" s="505">
        <f>SUM(C35:C43)</f>
        <v>38094.34</v>
      </c>
      <c r="D34" s="505">
        <f>SUM(D35:D43)</f>
        <v>7481.82</v>
      </c>
      <c r="E34" s="505">
        <f>SUM(E35:E43)</f>
        <v>6959.82</v>
      </c>
      <c r="F34" s="505">
        <f>SUM(F35:F43)</f>
        <v>6959.82</v>
      </c>
      <c r="G34" s="505">
        <f>SUM(G35:G43)</f>
        <v>0</v>
      </c>
      <c r="H34" s="505">
        <f aca="true" t="shared" si="23" ref="H34:R34">SUM(H35:H43)</f>
        <v>522</v>
      </c>
      <c r="I34" s="506">
        <f t="shared" si="23"/>
        <v>30612.519999999997</v>
      </c>
      <c r="J34" s="506">
        <f t="shared" si="23"/>
        <v>2154.99</v>
      </c>
      <c r="K34" s="506">
        <f>SUM(K35:K43)</f>
        <v>193.8</v>
      </c>
      <c r="L34" s="506">
        <f t="shared" si="23"/>
        <v>1961.19</v>
      </c>
      <c r="M34" s="506">
        <f t="shared" si="23"/>
        <v>0</v>
      </c>
      <c r="N34" s="506">
        <f>SUM(N35:N43)</f>
        <v>28457.53</v>
      </c>
      <c r="O34" s="506">
        <f t="shared" si="23"/>
        <v>825.2199999999999</v>
      </c>
      <c r="P34" s="506">
        <f t="shared" si="23"/>
        <v>879.52</v>
      </c>
      <c r="Q34" s="508">
        <f t="shared" si="23"/>
        <v>2269.53</v>
      </c>
      <c r="R34" s="508">
        <f t="shared" si="23"/>
        <v>24483.260000000002</v>
      </c>
      <c r="S34" s="509"/>
      <c r="T34" s="518"/>
    </row>
    <row r="35" spans="1:20" s="504" customFormat="1" ht="16.5" customHeight="1">
      <c r="A35" s="802">
        <v>18</v>
      </c>
      <c r="B35" s="440" t="s">
        <v>117</v>
      </c>
      <c r="C35" s="510">
        <f aca="true" t="shared" si="24" ref="C35:C41">D35+I35</f>
        <v>907.44</v>
      </c>
      <c r="D35" s="510">
        <f>E35+H35</f>
        <v>3</v>
      </c>
      <c r="E35" s="510">
        <f>F35+G35</f>
        <v>0</v>
      </c>
      <c r="F35" s="510">
        <v>0</v>
      </c>
      <c r="G35" s="510">
        <v>0</v>
      </c>
      <c r="H35" s="510">
        <v>3</v>
      </c>
      <c r="I35" s="517">
        <f aca="true" t="shared" si="25" ref="I35:I41">+J35+N35</f>
        <v>904.44</v>
      </c>
      <c r="J35" s="511">
        <f aca="true" t="shared" si="26" ref="J35:J41">SUM(K35:M35)</f>
        <v>151.33</v>
      </c>
      <c r="K35" s="517">
        <v>32.96</v>
      </c>
      <c r="L35" s="517">
        <v>118.37</v>
      </c>
      <c r="M35" s="517">
        <v>0</v>
      </c>
      <c r="N35" s="511">
        <f aca="true" t="shared" si="27" ref="N35:N41">SUM(O35:R35)</f>
        <v>753.11</v>
      </c>
      <c r="O35" s="517">
        <v>0</v>
      </c>
      <c r="P35" s="517">
        <v>0</v>
      </c>
      <c r="Q35" s="553">
        <v>116.14</v>
      </c>
      <c r="R35" s="554">
        <v>636.97</v>
      </c>
      <c r="S35" s="438">
        <v>18</v>
      </c>
      <c r="T35" s="503"/>
    </row>
    <row r="36" spans="1:20" s="504" customFormat="1" ht="16.5" customHeight="1">
      <c r="A36" s="802">
        <v>19</v>
      </c>
      <c r="B36" s="440" t="s">
        <v>118</v>
      </c>
      <c r="C36" s="510">
        <f t="shared" si="24"/>
        <v>44.8</v>
      </c>
      <c r="D36" s="510">
        <f aca="true" t="shared" si="28" ref="D36:D41">E36+H36</f>
        <v>0</v>
      </c>
      <c r="E36" s="510">
        <f aca="true" t="shared" si="29" ref="E36:E41">F36+G36</f>
        <v>0</v>
      </c>
      <c r="F36" s="510">
        <v>0</v>
      </c>
      <c r="G36" s="510">
        <v>0</v>
      </c>
      <c r="H36" s="510">
        <v>0</v>
      </c>
      <c r="I36" s="517">
        <f t="shared" si="25"/>
        <v>44.8</v>
      </c>
      <c r="J36" s="511">
        <f t="shared" si="26"/>
        <v>15.3</v>
      </c>
      <c r="K36" s="517">
        <v>0</v>
      </c>
      <c r="L36" s="517">
        <v>15.3</v>
      </c>
      <c r="M36" s="517">
        <v>0</v>
      </c>
      <c r="N36" s="511">
        <f t="shared" si="27"/>
        <v>29.5</v>
      </c>
      <c r="O36" s="517">
        <v>0</v>
      </c>
      <c r="P36" s="517">
        <v>0</v>
      </c>
      <c r="Q36" s="553">
        <v>1.18</v>
      </c>
      <c r="R36" s="554">
        <v>28.32</v>
      </c>
      <c r="S36" s="438">
        <v>19</v>
      </c>
      <c r="T36" s="503"/>
    </row>
    <row r="37" spans="1:20" s="504" customFormat="1" ht="16.5" customHeight="1">
      <c r="A37" s="802">
        <v>20</v>
      </c>
      <c r="B37" s="440" t="s">
        <v>120</v>
      </c>
      <c r="C37" s="510">
        <f t="shared" si="24"/>
        <v>5.31</v>
      </c>
      <c r="D37" s="510">
        <f t="shared" si="28"/>
        <v>0</v>
      </c>
      <c r="E37" s="510">
        <f t="shared" si="29"/>
        <v>0</v>
      </c>
      <c r="F37" s="510">
        <v>0</v>
      </c>
      <c r="G37" s="510">
        <v>0</v>
      </c>
      <c r="H37" s="510">
        <v>0</v>
      </c>
      <c r="I37" s="517">
        <f t="shared" si="25"/>
        <v>5.31</v>
      </c>
      <c r="J37" s="511">
        <f t="shared" si="26"/>
        <v>0</v>
      </c>
      <c r="K37" s="517">
        <v>0</v>
      </c>
      <c r="L37" s="517">
        <v>0</v>
      </c>
      <c r="M37" s="517">
        <v>0</v>
      </c>
      <c r="N37" s="511">
        <f t="shared" si="27"/>
        <v>5.31</v>
      </c>
      <c r="O37" s="517">
        <v>0</v>
      </c>
      <c r="P37" s="517">
        <v>0</v>
      </c>
      <c r="Q37" s="553">
        <v>0.14</v>
      </c>
      <c r="R37" s="555">
        <v>5.17</v>
      </c>
      <c r="S37" s="438">
        <v>20</v>
      </c>
      <c r="T37" s="503"/>
    </row>
    <row r="38" spans="1:20" s="504" customFormat="1" ht="16.5" customHeight="1">
      <c r="A38" s="802">
        <v>21</v>
      </c>
      <c r="B38" s="440" t="s">
        <v>136</v>
      </c>
      <c r="C38" s="510">
        <f t="shared" si="24"/>
        <v>2.85</v>
      </c>
      <c r="D38" s="510">
        <f t="shared" si="28"/>
        <v>0</v>
      </c>
      <c r="E38" s="510">
        <f t="shared" si="29"/>
        <v>0</v>
      </c>
      <c r="F38" s="510">
        <v>0</v>
      </c>
      <c r="G38" s="510">
        <v>0</v>
      </c>
      <c r="H38" s="510">
        <v>0</v>
      </c>
      <c r="I38" s="517">
        <f t="shared" si="25"/>
        <v>2.85</v>
      </c>
      <c r="J38" s="511">
        <f t="shared" si="26"/>
        <v>0</v>
      </c>
      <c r="K38" s="517">
        <v>0</v>
      </c>
      <c r="L38" s="517"/>
      <c r="M38" s="517">
        <v>0</v>
      </c>
      <c r="N38" s="511">
        <f t="shared" si="27"/>
        <v>2.85</v>
      </c>
      <c r="O38" s="517">
        <v>0</v>
      </c>
      <c r="P38" s="517">
        <v>0</v>
      </c>
      <c r="Q38" s="553">
        <v>0</v>
      </c>
      <c r="R38" s="555">
        <v>2.85</v>
      </c>
      <c r="S38" s="438">
        <v>21</v>
      </c>
      <c r="T38" s="503"/>
    </row>
    <row r="39" spans="1:20" s="504" customFormat="1" ht="16.5" customHeight="1">
      <c r="A39" s="802">
        <v>22</v>
      </c>
      <c r="B39" s="440" t="s">
        <v>121</v>
      </c>
      <c r="C39" s="510">
        <f t="shared" si="24"/>
        <v>30.96</v>
      </c>
      <c r="D39" s="510">
        <f t="shared" si="28"/>
        <v>0</v>
      </c>
      <c r="E39" s="510">
        <f t="shared" si="29"/>
        <v>0</v>
      </c>
      <c r="F39" s="510">
        <v>0</v>
      </c>
      <c r="G39" s="510">
        <v>0</v>
      </c>
      <c r="H39" s="510">
        <v>0</v>
      </c>
      <c r="I39" s="517">
        <f t="shared" si="25"/>
        <v>30.96</v>
      </c>
      <c r="J39" s="511">
        <f t="shared" si="26"/>
        <v>0.6</v>
      </c>
      <c r="K39" s="517">
        <v>0.01</v>
      </c>
      <c r="L39" s="517">
        <v>0.59</v>
      </c>
      <c r="M39" s="517">
        <v>0</v>
      </c>
      <c r="N39" s="511">
        <f t="shared" si="27"/>
        <v>30.36</v>
      </c>
      <c r="O39" s="517">
        <v>0</v>
      </c>
      <c r="P39" s="517">
        <v>0</v>
      </c>
      <c r="Q39" s="553">
        <v>0.68</v>
      </c>
      <c r="R39" s="555">
        <v>29.68</v>
      </c>
      <c r="S39" s="438">
        <v>22</v>
      </c>
      <c r="T39" s="503"/>
    </row>
    <row r="40" spans="1:20" s="504" customFormat="1" ht="16.5" customHeight="1">
      <c r="A40" s="802">
        <v>23</v>
      </c>
      <c r="B40" s="440" t="s">
        <v>122</v>
      </c>
      <c r="C40" s="510">
        <f t="shared" si="24"/>
        <v>2.09</v>
      </c>
      <c r="D40" s="510">
        <f t="shared" si="28"/>
        <v>0</v>
      </c>
      <c r="E40" s="510">
        <f t="shared" si="29"/>
        <v>0</v>
      </c>
      <c r="F40" s="510">
        <v>0</v>
      </c>
      <c r="G40" s="510">
        <v>0</v>
      </c>
      <c r="H40" s="510">
        <v>0</v>
      </c>
      <c r="I40" s="517">
        <f t="shared" si="25"/>
        <v>2.09</v>
      </c>
      <c r="J40" s="511">
        <f t="shared" si="26"/>
        <v>0</v>
      </c>
      <c r="K40" s="517">
        <v>0</v>
      </c>
      <c r="L40" s="517">
        <v>0</v>
      </c>
      <c r="M40" s="517">
        <v>0</v>
      </c>
      <c r="N40" s="511">
        <f t="shared" si="27"/>
        <v>2.09</v>
      </c>
      <c r="O40" s="517">
        <v>0</v>
      </c>
      <c r="P40" s="517">
        <v>0</v>
      </c>
      <c r="Q40" s="553">
        <v>0</v>
      </c>
      <c r="R40" s="555">
        <v>2.09</v>
      </c>
      <c r="S40" s="438">
        <v>23</v>
      </c>
      <c r="T40" s="503"/>
    </row>
    <row r="41" spans="1:20" s="438" customFormat="1" ht="16.5" customHeight="1">
      <c r="A41" s="802">
        <v>24</v>
      </c>
      <c r="B41" s="440" t="s">
        <v>123</v>
      </c>
      <c r="C41" s="510">
        <f t="shared" si="24"/>
        <v>42.99</v>
      </c>
      <c r="D41" s="510">
        <f t="shared" si="28"/>
        <v>0</v>
      </c>
      <c r="E41" s="510">
        <f t="shared" si="29"/>
        <v>0</v>
      </c>
      <c r="F41" s="510">
        <v>0</v>
      </c>
      <c r="G41" s="510">
        <v>0</v>
      </c>
      <c r="H41" s="510">
        <v>0</v>
      </c>
      <c r="I41" s="517">
        <f t="shared" si="25"/>
        <v>42.99</v>
      </c>
      <c r="J41" s="511">
        <f t="shared" si="26"/>
        <v>2.52</v>
      </c>
      <c r="K41" s="517">
        <v>0</v>
      </c>
      <c r="L41" s="517">
        <v>2.52</v>
      </c>
      <c r="M41" s="517">
        <v>0</v>
      </c>
      <c r="N41" s="511">
        <f t="shared" si="27"/>
        <v>40.47</v>
      </c>
      <c r="O41" s="517">
        <v>0</v>
      </c>
      <c r="P41" s="517">
        <v>0</v>
      </c>
      <c r="Q41" s="553">
        <v>0.1</v>
      </c>
      <c r="R41" s="555">
        <v>40.37</v>
      </c>
      <c r="S41" s="438">
        <v>24</v>
      </c>
      <c r="T41" s="518"/>
    </row>
    <row r="42" spans="1:20" s="504" customFormat="1" ht="16.5" customHeight="1">
      <c r="A42" s="802">
        <v>25</v>
      </c>
      <c r="B42" s="440" t="s">
        <v>115</v>
      </c>
      <c r="C42" s="510">
        <f>D42+I42</f>
        <v>19913.75</v>
      </c>
      <c r="D42" s="510">
        <f>E42+H42</f>
        <v>6259.36</v>
      </c>
      <c r="E42" s="510">
        <f>F42+G42</f>
        <v>6247.36</v>
      </c>
      <c r="F42" s="510">
        <v>6247.36</v>
      </c>
      <c r="G42" s="510">
        <v>0</v>
      </c>
      <c r="H42" s="510">
        <v>12</v>
      </c>
      <c r="I42" s="517">
        <f>+J42+N42</f>
        <v>13654.39</v>
      </c>
      <c r="J42" s="511">
        <f>SUM(K42:M42)</f>
        <v>837.9</v>
      </c>
      <c r="K42" s="553">
        <v>13.53</v>
      </c>
      <c r="L42" s="553">
        <v>824.37</v>
      </c>
      <c r="M42" s="553">
        <v>0</v>
      </c>
      <c r="N42" s="512">
        <f>SUM(O42:R42)</f>
        <v>12816.49</v>
      </c>
      <c r="O42" s="553">
        <v>105.29</v>
      </c>
      <c r="P42" s="553">
        <v>327.99</v>
      </c>
      <c r="Q42" s="553">
        <v>1364.38</v>
      </c>
      <c r="R42" s="554">
        <v>11018.83</v>
      </c>
      <c r="S42" s="438">
        <v>25</v>
      </c>
      <c r="T42" s="503"/>
    </row>
    <row r="43" spans="1:20" s="504" customFormat="1" ht="16.5" customHeight="1" thickBot="1">
      <c r="A43" s="803">
        <v>26</v>
      </c>
      <c r="B43" s="477" t="s">
        <v>178</v>
      </c>
      <c r="C43" s="510">
        <f>D43+I43</f>
        <v>17144.149999999998</v>
      </c>
      <c r="D43" s="510">
        <f>E43+H43</f>
        <v>1219.46</v>
      </c>
      <c r="E43" s="510">
        <f>F43+G43</f>
        <v>712.46</v>
      </c>
      <c r="F43" s="510">
        <v>712.46</v>
      </c>
      <c r="G43" s="510">
        <v>0</v>
      </c>
      <c r="H43" s="510">
        <v>507</v>
      </c>
      <c r="I43" s="517">
        <f>+J43+N43</f>
        <v>15924.689999999999</v>
      </c>
      <c r="J43" s="511">
        <f>SUM(K43:M43)</f>
        <v>1147.34</v>
      </c>
      <c r="K43" s="553">
        <v>147.3</v>
      </c>
      <c r="L43" s="553">
        <v>1000.04</v>
      </c>
      <c r="M43" s="553">
        <v>0</v>
      </c>
      <c r="N43" s="512">
        <f>SUM(O43:R43)</f>
        <v>14777.349999999999</v>
      </c>
      <c r="O43" s="553">
        <v>719.93</v>
      </c>
      <c r="P43" s="553">
        <v>551.53</v>
      </c>
      <c r="Q43" s="553">
        <v>786.91</v>
      </c>
      <c r="R43" s="555">
        <v>12718.98</v>
      </c>
      <c r="S43" s="519">
        <v>26</v>
      </c>
      <c r="T43" s="503"/>
    </row>
    <row r="44" spans="1:20" s="504" customFormat="1" ht="25.5" customHeight="1">
      <c r="A44" s="953" t="s">
        <v>87</v>
      </c>
      <c r="B44" s="954"/>
      <c r="C44" s="520">
        <f>D44+I44</f>
        <v>111182.09000000001</v>
      </c>
      <c r="D44" s="495">
        <f>E44+H44</f>
        <v>29558.690000000002</v>
      </c>
      <c r="E44" s="495">
        <f>F44+G44</f>
        <v>29103.690000000002</v>
      </c>
      <c r="F44" s="495">
        <f>F45+F48+F52</f>
        <v>29013.260000000002</v>
      </c>
      <c r="G44" s="495">
        <f>G45+G48+G52</f>
        <v>90.43</v>
      </c>
      <c r="H44" s="495">
        <f>H45+H48+H52</f>
        <v>455</v>
      </c>
      <c r="I44" s="497">
        <f>J44+N44</f>
        <v>81623.40000000001</v>
      </c>
      <c r="J44" s="500">
        <f>SUM(K44:M44)</f>
        <v>6384.3099999999995</v>
      </c>
      <c r="K44" s="498">
        <f>K45+K48+K52</f>
        <v>2864.2999999999997</v>
      </c>
      <c r="L44" s="498">
        <f>L45+L48+L52</f>
        <v>3424.35</v>
      </c>
      <c r="M44" s="498">
        <f>M45+M48+M52</f>
        <v>95.66</v>
      </c>
      <c r="N44" s="500">
        <f>SUM(O44:R44)</f>
        <v>75239.09000000001</v>
      </c>
      <c r="O44" s="499">
        <f>O45+O48+O52</f>
        <v>2853.36</v>
      </c>
      <c r="P44" s="499">
        <f>P45+P48+P52</f>
        <v>2276.92</v>
      </c>
      <c r="Q44" s="499">
        <f>Q45+Q48+Q52</f>
        <v>10931.04</v>
      </c>
      <c r="R44" s="501">
        <f>R45+R48+R52</f>
        <v>59177.770000000004</v>
      </c>
      <c r="S44" s="514"/>
      <c r="T44" s="503"/>
    </row>
    <row r="45" spans="1:20" s="504" customFormat="1" ht="16.5" customHeight="1">
      <c r="A45" s="927" t="s">
        <v>379</v>
      </c>
      <c r="B45" s="952"/>
      <c r="C45" s="505">
        <f aca="true" t="shared" si="30" ref="C45:K45">SUM(C46:C47)</f>
        <v>38878.81</v>
      </c>
      <c r="D45" s="505">
        <f>SUM(D46:D47)</f>
        <v>11883.849999999999</v>
      </c>
      <c r="E45" s="505">
        <f t="shared" si="30"/>
        <v>11429.85</v>
      </c>
      <c r="F45" s="505">
        <f t="shared" si="30"/>
        <v>10975.85</v>
      </c>
      <c r="G45" s="505">
        <f t="shared" si="30"/>
        <v>0</v>
      </c>
      <c r="H45" s="505">
        <f t="shared" si="30"/>
        <v>454</v>
      </c>
      <c r="I45" s="506">
        <f t="shared" si="30"/>
        <v>26994.96</v>
      </c>
      <c r="J45" s="506">
        <f t="shared" si="30"/>
        <v>3092.02</v>
      </c>
      <c r="K45" s="507">
        <f t="shared" si="30"/>
        <v>1436.55</v>
      </c>
      <c r="L45" s="507">
        <f>SUM(L46:L47)</f>
        <v>1655.47</v>
      </c>
      <c r="M45" s="507">
        <v>0</v>
      </c>
      <c r="N45" s="507">
        <f>SUM(N46:N47)</f>
        <v>23902.940000000002</v>
      </c>
      <c r="O45" s="507">
        <f>SUM(O46:O47)</f>
        <v>765.92</v>
      </c>
      <c r="P45" s="507">
        <f>SUM(P46:P47)</f>
        <v>189.87</v>
      </c>
      <c r="Q45" s="507">
        <f>SUM(Q46:Q47)</f>
        <v>4291.05</v>
      </c>
      <c r="R45" s="508">
        <f>SUM(R46:R47)</f>
        <v>18656.1</v>
      </c>
      <c r="S45" s="514"/>
      <c r="T45" s="503"/>
    </row>
    <row r="46" spans="1:20" s="504" customFormat="1" ht="16.5" customHeight="1">
      <c r="A46" s="802">
        <v>27</v>
      </c>
      <c r="B46" s="439" t="s">
        <v>124</v>
      </c>
      <c r="C46" s="510">
        <f>D46+I46</f>
        <v>21965.64</v>
      </c>
      <c r="D46" s="510">
        <f>E46+H46</f>
        <v>4468.9</v>
      </c>
      <c r="E46" s="510">
        <v>4014.9</v>
      </c>
      <c r="F46" s="510">
        <v>3560.9</v>
      </c>
      <c r="G46" s="510">
        <v>0</v>
      </c>
      <c r="H46" s="510">
        <v>454</v>
      </c>
      <c r="I46" s="511">
        <f>J46+N46</f>
        <v>17496.74</v>
      </c>
      <c r="J46" s="511">
        <f>SUM(K46:M46)</f>
        <v>2731.31</v>
      </c>
      <c r="K46" s="512">
        <v>1435.54</v>
      </c>
      <c r="L46" s="512">
        <v>1295.77</v>
      </c>
      <c r="M46" s="512"/>
      <c r="N46" s="512">
        <f>SUM(O46:R46)</f>
        <v>14765.43</v>
      </c>
      <c r="O46" s="512">
        <v>510.19</v>
      </c>
      <c r="P46" s="512">
        <v>112.58</v>
      </c>
      <c r="Q46" s="512">
        <v>2871.85</v>
      </c>
      <c r="R46" s="532">
        <v>11270.81</v>
      </c>
      <c r="S46" s="438">
        <v>27</v>
      </c>
      <c r="T46" s="503"/>
    </row>
    <row r="47" spans="1:20" s="504" customFormat="1" ht="16.5" customHeight="1">
      <c r="A47" s="802">
        <v>28</v>
      </c>
      <c r="B47" s="439" t="s">
        <v>125</v>
      </c>
      <c r="C47" s="510">
        <f>D47+I47</f>
        <v>16913.17</v>
      </c>
      <c r="D47" s="510">
        <f>E47+H47</f>
        <v>7414.95</v>
      </c>
      <c r="E47" s="510">
        <f>F47+G47</f>
        <v>7414.95</v>
      </c>
      <c r="F47" s="510">
        <v>7414.95</v>
      </c>
      <c r="G47" s="510">
        <v>0</v>
      </c>
      <c r="H47" s="510">
        <v>0</v>
      </c>
      <c r="I47" s="511">
        <f>J47+N47</f>
        <v>9498.22</v>
      </c>
      <c r="J47" s="511">
        <f>SUM(K47:M47)</f>
        <v>360.71</v>
      </c>
      <c r="K47" s="512">
        <v>1.01</v>
      </c>
      <c r="L47" s="512">
        <v>359.7</v>
      </c>
      <c r="M47" s="512">
        <v>0</v>
      </c>
      <c r="N47" s="512">
        <f>SUM(O47:R47)</f>
        <v>9137.51</v>
      </c>
      <c r="O47" s="512">
        <v>255.73</v>
      </c>
      <c r="P47" s="512">
        <v>77.29</v>
      </c>
      <c r="Q47" s="512">
        <v>1419.2</v>
      </c>
      <c r="R47" s="532">
        <v>7385.29</v>
      </c>
      <c r="S47" s="438">
        <v>28</v>
      </c>
      <c r="T47" s="503"/>
    </row>
    <row r="48" spans="1:20" s="504" customFormat="1" ht="16.5" customHeight="1">
      <c r="A48" s="927" t="s">
        <v>373</v>
      </c>
      <c r="B48" s="952"/>
      <c r="C48" s="505">
        <f aca="true" t="shared" si="31" ref="C48:H48">SUM(C49:C51)</f>
        <v>37985.34</v>
      </c>
      <c r="D48" s="505">
        <f t="shared" si="31"/>
        <v>9540.44</v>
      </c>
      <c r="E48" s="505">
        <f>SUM(E49:E51)</f>
        <v>9540.44</v>
      </c>
      <c r="F48" s="505">
        <f t="shared" si="31"/>
        <v>9450.01</v>
      </c>
      <c r="G48" s="505">
        <f t="shared" si="31"/>
        <v>90.43</v>
      </c>
      <c r="H48" s="505">
        <f t="shared" si="31"/>
        <v>0</v>
      </c>
      <c r="I48" s="506">
        <f aca="true" t="shared" si="32" ref="I48:R48">SUM(I49:I51)</f>
        <v>28444.9</v>
      </c>
      <c r="J48" s="506">
        <f t="shared" si="32"/>
        <v>2097.21</v>
      </c>
      <c r="K48" s="507">
        <f t="shared" si="32"/>
        <v>961.81</v>
      </c>
      <c r="L48" s="507">
        <f>SUM(L49:L51)</f>
        <v>1039.74</v>
      </c>
      <c r="M48" s="507">
        <f t="shared" si="32"/>
        <v>95.66</v>
      </c>
      <c r="N48" s="507">
        <f t="shared" si="32"/>
        <v>26347.69</v>
      </c>
      <c r="O48" s="507">
        <f>SUM(O49:O51)</f>
        <v>1401.04</v>
      </c>
      <c r="P48" s="507">
        <f t="shared" si="32"/>
        <v>1501.52</v>
      </c>
      <c r="Q48" s="507">
        <f t="shared" si="32"/>
        <v>4685.15</v>
      </c>
      <c r="R48" s="508">
        <f t="shared" si="32"/>
        <v>18759.98</v>
      </c>
      <c r="S48" s="514"/>
      <c r="T48" s="503"/>
    </row>
    <row r="49" spans="1:20" s="504" customFormat="1" ht="16.5" customHeight="1">
      <c r="A49" s="802">
        <v>29</v>
      </c>
      <c r="B49" s="439" t="s">
        <v>126</v>
      </c>
      <c r="C49" s="510">
        <f>D49+I49</f>
        <v>10489.59</v>
      </c>
      <c r="D49" s="510">
        <f>E49+H49</f>
        <v>227.89</v>
      </c>
      <c r="E49" s="510">
        <f>F49+G49</f>
        <v>227.89</v>
      </c>
      <c r="F49" s="510">
        <v>227.89</v>
      </c>
      <c r="G49" s="510">
        <v>0</v>
      </c>
      <c r="H49" s="510">
        <v>0</v>
      </c>
      <c r="I49" s="511">
        <f>J49+N49</f>
        <v>10261.7</v>
      </c>
      <c r="J49" s="511">
        <f>SUM(K49:M49)</f>
        <v>1402.3300000000002</v>
      </c>
      <c r="K49" s="512">
        <v>930.42</v>
      </c>
      <c r="L49" s="512">
        <v>376.25</v>
      </c>
      <c r="M49" s="512">
        <v>95.66</v>
      </c>
      <c r="N49" s="512">
        <f>SUM(O49:R49)</f>
        <v>8859.37</v>
      </c>
      <c r="O49" s="512">
        <v>214.45</v>
      </c>
      <c r="P49" s="512">
        <v>199.34</v>
      </c>
      <c r="Q49" s="512">
        <v>1300.48</v>
      </c>
      <c r="R49" s="532">
        <v>7145.1</v>
      </c>
      <c r="S49" s="438">
        <v>29</v>
      </c>
      <c r="T49" s="503"/>
    </row>
    <row r="50" spans="1:20" s="504" customFormat="1" ht="16.5" customHeight="1">
      <c r="A50" s="802">
        <v>30</v>
      </c>
      <c r="B50" s="439" t="s">
        <v>127</v>
      </c>
      <c r="C50" s="510">
        <f>D50+I50</f>
        <v>17369.399999999998</v>
      </c>
      <c r="D50" s="510">
        <f>E50+H50</f>
        <v>7455.28</v>
      </c>
      <c r="E50" s="510">
        <f>F50+G50</f>
        <v>7455.28</v>
      </c>
      <c r="F50" s="510">
        <v>7455.28</v>
      </c>
      <c r="G50" s="510">
        <v>0</v>
      </c>
      <c r="H50" s="510">
        <v>0</v>
      </c>
      <c r="I50" s="511">
        <f>J50+N50</f>
        <v>9914.119999999999</v>
      </c>
      <c r="J50" s="511">
        <f>SUM(K50:M50)</f>
        <v>354.92</v>
      </c>
      <c r="K50" s="512">
        <v>3</v>
      </c>
      <c r="L50" s="512">
        <v>351.92</v>
      </c>
      <c r="M50" s="512">
        <v>0</v>
      </c>
      <c r="N50" s="512">
        <f>SUM(O50:R50)</f>
        <v>9559.199999999999</v>
      </c>
      <c r="O50" s="512">
        <v>844.72</v>
      </c>
      <c r="P50" s="512">
        <v>571.28</v>
      </c>
      <c r="Q50" s="512">
        <v>2992.22</v>
      </c>
      <c r="R50" s="532">
        <v>5150.98</v>
      </c>
      <c r="S50" s="438">
        <v>30</v>
      </c>
      <c r="T50" s="503"/>
    </row>
    <row r="51" spans="1:20" s="504" customFormat="1" ht="16.5" customHeight="1">
      <c r="A51" s="802">
        <v>31</v>
      </c>
      <c r="B51" s="439" t="s">
        <v>137</v>
      </c>
      <c r="C51" s="510">
        <f>D51+I51</f>
        <v>10126.35</v>
      </c>
      <c r="D51" s="510">
        <f>E51+H51</f>
        <v>1857.27</v>
      </c>
      <c r="E51" s="510">
        <f>F51+G51</f>
        <v>1857.27</v>
      </c>
      <c r="F51" s="510">
        <v>1766.84</v>
      </c>
      <c r="G51" s="510">
        <v>90.43</v>
      </c>
      <c r="H51" s="510">
        <v>0</v>
      </c>
      <c r="I51" s="511">
        <f>J51+N51</f>
        <v>8269.08</v>
      </c>
      <c r="J51" s="511">
        <f>SUM(K51:M51)</f>
        <v>339.96</v>
      </c>
      <c r="K51" s="512">
        <v>28.39</v>
      </c>
      <c r="L51" s="512">
        <v>311.57</v>
      </c>
      <c r="M51" s="512">
        <v>0</v>
      </c>
      <c r="N51" s="512">
        <f>SUM(O51:R51)</f>
        <v>7929.12</v>
      </c>
      <c r="O51" s="512">
        <v>341.87</v>
      </c>
      <c r="P51" s="512">
        <v>730.9</v>
      </c>
      <c r="Q51" s="512">
        <v>392.45</v>
      </c>
      <c r="R51" s="532">
        <v>6463.9</v>
      </c>
      <c r="S51" s="438">
        <v>31</v>
      </c>
      <c r="T51" s="503"/>
    </row>
    <row r="52" spans="1:20" s="504" customFormat="1" ht="16.5" customHeight="1">
      <c r="A52" s="927" t="s">
        <v>374</v>
      </c>
      <c r="B52" s="952"/>
      <c r="C52" s="505">
        <f aca="true" t="shared" si="33" ref="C52:H52">SUM(C53:C56)</f>
        <v>34771.94</v>
      </c>
      <c r="D52" s="505">
        <f t="shared" si="33"/>
        <v>8588.4</v>
      </c>
      <c r="E52" s="505">
        <f t="shared" si="33"/>
        <v>8587.4</v>
      </c>
      <c r="F52" s="505">
        <f t="shared" si="33"/>
        <v>8587.4</v>
      </c>
      <c r="G52" s="505">
        <f t="shared" si="33"/>
        <v>0</v>
      </c>
      <c r="H52" s="505">
        <f t="shared" si="33"/>
        <v>1</v>
      </c>
      <c r="I52" s="506">
        <f aca="true" t="shared" si="34" ref="I52:R52">SUM(I53:I56)</f>
        <v>26183.54</v>
      </c>
      <c r="J52" s="506">
        <f t="shared" si="34"/>
        <v>1195.08</v>
      </c>
      <c r="K52" s="507">
        <f t="shared" si="34"/>
        <v>465.94</v>
      </c>
      <c r="L52" s="507">
        <f>SUM(L53:L56)</f>
        <v>729.14</v>
      </c>
      <c r="M52" s="507">
        <f t="shared" si="34"/>
        <v>0</v>
      </c>
      <c r="N52" s="507">
        <f t="shared" si="34"/>
        <v>24988.46</v>
      </c>
      <c r="O52" s="507">
        <f t="shared" si="34"/>
        <v>686.4</v>
      </c>
      <c r="P52" s="507">
        <f t="shared" si="34"/>
        <v>585.53</v>
      </c>
      <c r="Q52" s="507">
        <f t="shared" si="34"/>
        <v>1954.84</v>
      </c>
      <c r="R52" s="508">
        <f t="shared" si="34"/>
        <v>21761.69</v>
      </c>
      <c r="S52" s="514"/>
      <c r="T52" s="503"/>
    </row>
    <row r="53" spans="1:20" s="504" customFormat="1" ht="16.5" customHeight="1">
      <c r="A53" s="802">
        <v>32</v>
      </c>
      <c r="B53" s="439" t="s">
        <v>128</v>
      </c>
      <c r="C53" s="510">
        <f>D53+I53</f>
        <v>4762.49</v>
      </c>
      <c r="D53" s="510">
        <f>E53+H53</f>
        <v>606.12</v>
      </c>
      <c r="E53" s="510">
        <f>F53+G53</f>
        <v>605.12</v>
      </c>
      <c r="F53" s="510">
        <v>605.12</v>
      </c>
      <c r="G53" s="510">
        <v>0</v>
      </c>
      <c r="H53" s="510">
        <v>1</v>
      </c>
      <c r="I53" s="511">
        <f>J53+N53</f>
        <v>4156.37</v>
      </c>
      <c r="J53" s="511">
        <f>SUM(K53:M53)</f>
        <v>677.06</v>
      </c>
      <c r="K53" s="512">
        <v>417.74</v>
      </c>
      <c r="L53" s="512">
        <v>259.32</v>
      </c>
      <c r="M53" s="512">
        <v>0</v>
      </c>
      <c r="N53" s="512">
        <f>SUM(O53:R53)</f>
        <v>3479.31</v>
      </c>
      <c r="O53" s="512">
        <v>22.76</v>
      </c>
      <c r="P53" s="512">
        <v>87.99</v>
      </c>
      <c r="Q53" s="512">
        <v>592.56</v>
      </c>
      <c r="R53" s="532">
        <v>2776</v>
      </c>
      <c r="S53" s="438">
        <v>32</v>
      </c>
      <c r="T53" s="503"/>
    </row>
    <row r="54" spans="1:20" s="504" customFormat="1" ht="16.5" customHeight="1">
      <c r="A54" s="802">
        <v>33</v>
      </c>
      <c r="B54" s="439" t="s">
        <v>129</v>
      </c>
      <c r="C54" s="510">
        <f>D54+I54</f>
        <v>16109.060000000001</v>
      </c>
      <c r="D54" s="510">
        <f>E54+H54</f>
        <v>3637.52</v>
      </c>
      <c r="E54" s="510">
        <f>F54+G54</f>
        <v>3637.52</v>
      </c>
      <c r="F54" s="510">
        <v>3637.52</v>
      </c>
      <c r="G54" s="510">
        <v>0</v>
      </c>
      <c r="H54" s="510">
        <v>0</v>
      </c>
      <c r="I54" s="511">
        <f>J54+N54</f>
        <v>12471.54</v>
      </c>
      <c r="J54" s="511">
        <f>SUM(K54:M54)</f>
        <v>276.98</v>
      </c>
      <c r="K54" s="512">
        <v>45.94</v>
      </c>
      <c r="L54" s="512">
        <v>231.04</v>
      </c>
      <c r="M54" s="512">
        <v>0</v>
      </c>
      <c r="N54" s="512">
        <f>SUM(O54:R54)</f>
        <v>12194.560000000001</v>
      </c>
      <c r="O54" s="512">
        <v>448.99</v>
      </c>
      <c r="P54" s="512">
        <v>182.4</v>
      </c>
      <c r="Q54" s="512">
        <v>1136.23</v>
      </c>
      <c r="R54" s="532">
        <v>10426.94</v>
      </c>
      <c r="S54" s="438">
        <v>33</v>
      </c>
      <c r="T54" s="503"/>
    </row>
    <row r="55" spans="1:20" s="504" customFormat="1" ht="16.5" customHeight="1">
      <c r="A55" s="802">
        <v>34</v>
      </c>
      <c r="B55" s="439" t="s">
        <v>130</v>
      </c>
      <c r="C55" s="510">
        <f>D55+I55</f>
        <v>10745.28</v>
      </c>
      <c r="D55" s="510">
        <f>E55+H55</f>
        <v>3735.03</v>
      </c>
      <c r="E55" s="510">
        <f>F55+G55</f>
        <v>3735.03</v>
      </c>
      <c r="F55" s="510">
        <v>3735.03</v>
      </c>
      <c r="G55" s="510">
        <v>0</v>
      </c>
      <c r="H55" s="510">
        <v>0</v>
      </c>
      <c r="I55" s="511">
        <f>J55+N55</f>
        <v>7010.25</v>
      </c>
      <c r="J55" s="511">
        <f>SUM(K55:M55)</f>
        <v>130.12</v>
      </c>
      <c r="K55" s="512">
        <v>1.93</v>
      </c>
      <c r="L55" s="512">
        <v>128.19</v>
      </c>
      <c r="M55" s="512">
        <v>0</v>
      </c>
      <c r="N55" s="512">
        <f>SUM(O55:R55)</f>
        <v>6880.13</v>
      </c>
      <c r="O55" s="512">
        <v>84.65</v>
      </c>
      <c r="P55" s="512">
        <v>257.48</v>
      </c>
      <c r="Q55" s="512">
        <v>90.71</v>
      </c>
      <c r="R55" s="532">
        <v>6447.29</v>
      </c>
      <c r="S55" s="438">
        <v>34</v>
      </c>
      <c r="T55" s="503"/>
    </row>
    <row r="56" spans="1:20" s="504" customFormat="1" ht="16.5" customHeight="1" thickBot="1">
      <c r="A56" s="513">
        <v>35</v>
      </c>
      <c r="B56" s="478" t="s">
        <v>131</v>
      </c>
      <c r="C56" s="521">
        <f>D56+I56</f>
        <v>3155.11</v>
      </c>
      <c r="D56" s="521">
        <f>E56+H56</f>
        <v>609.73</v>
      </c>
      <c r="E56" s="521">
        <f>F56+G56</f>
        <v>609.73</v>
      </c>
      <c r="F56" s="521">
        <v>609.73</v>
      </c>
      <c r="G56" s="521">
        <v>0</v>
      </c>
      <c r="H56" s="521">
        <v>0</v>
      </c>
      <c r="I56" s="831">
        <f>J56+N56</f>
        <v>2545.38</v>
      </c>
      <c r="J56" s="831">
        <f>SUM(K56:M56)</f>
        <v>110.92</v>
      </c>
      <c r="K56" s="832">
        <v>0.33</v>
      </c>
      <c r="L56" s="832">
        <v>110.59</v>
      </c>
      <c r="M56" s="832">
        <v>0</v>
      </c>
      <c r="N56" s="832">
        <f>SUM(O56:R56)</f>
        <v>2434.46</v>
      </c>
      <c r="O56" s="832">
        <v>130</v>
      </c>
      <c r="P56" s="832">
        <v>57.66</v>
      </c>
      <c r="Q56" s="832">
        <v>135.34</v>
      </c>
      <c r="R56" s="833">
        <v>2111.46</v>
      </c>
      <c r="S56" s="513">
        <v>35</v>
      </c>
      <c r="T56" s="503"/>
    </row>
    <row r="57" spans="11:20" s="224" customFormat="1" ht="17.25">
      <c r="K57" s="225"/>
      <c r="L57" s="225"/>
      <c r="M57" s="225"/>
      <c r="N57" s="225"/>
      <c r="O57" s="225"/>
      <c r="P57" s="225"/>
      <c r="Q57" s="225"/>
      <c r="R57" s="225"/>
      <c r="S57" s="226"/>
      <c r="T57" s="227"/>
    </row>
    <row r="58" spans="11:20" s="224" customFormat="1" ht="17.25">
      <c r="K58" s="225"/>
      <c r="L58" s="225"/>
      <c r="M58" s="225"/>
      <c r="N58" s="225"/>
      <c r="O58" s="225"/>
      <c r="P58" s="225"/>
      <c r="Q58" s="225"/>
      <c r="R58" s="225"/>
      <c r="S58" s="226"/>
      <c r="T58" s="227"/>
    </row>
    <row r="59" spans="11:20" s="224" customFormat="1" ht="17.25">
      <c r="K59" s="225"/>
      <c r="L59" s="225"/>
      <c r="M59" s="225"/>
      <c r="N59" s="225"/>
      <c r="O59" s="225"/>
      <c r="P59" s="225"/>
      <c r="Q59" s="225"/>
      <c r="R59" s="225"/>
      <c r="S59" s="226"/>
      <c r="T59" s="227"/>
    </row>
    <row r="60" spans="11:20" s="224" customFormat="1" ht="17.25">
      <c r="K60" s="225"/>
      <c r="L60" s="225"/>
      <c r="M60" s="225"/>
      <c r="N60" s="225"/>
      <c r="O60" s="225"/>
      <c r="P60" s="225"/>
      <c r="Q60" s="225"/>
      <c r="R60" s="225"/>
      <c r="S60" s="226"/>
      <c r="T60" s="227"/>
    </row>
    <row r="61" spans="2:20" s="224" customFormat="1" ht="18.75">
      <c r="B61" s="533"/>
      <c r="K61" s="225"/>
      <c r="L61" s="225"/>
      <c r="M61" s="225"/>
      <c r="N61" s="225"/>
      <c r="O61" s="225"/>
      <c r="P61" s="225"/>
      <c r="Q61" s="225"/>
      <c r="R61" s="225"/>
      <c r="S61" s="226"/>
      <c r="T61" s="227"/>
    </row>
    <row r="62" spans="11:20" s="224" customFormat="1" ht="17.25">
      <c r="K62" s="225"/>
      <c r="L62" s="225"/>
      <c r="M62" s="225"/>
      <c r="N62" s="225"/>
      <c r="O62" s="225"/>
      <c r="P62" s="225"/>
      <c r="Q62" s="225"/>
      <c r="R62" s="225"/>
      <c r="S62" s="226"/>
      <c r="T62" s="227"/>
    </row>
    <row r="63" spans="11:20" s="224" customFormat="1" ht="17.25">
      <c r="K63" s="225"/>
      <c r="L63" s="225"/>
      <c r="M63" s="225"/>
      <c r="N63" s="225"/>
      <c r="O63" s="225"/>
      <c r="P63" s="225"/>
      <c r="Q63" s="225"/>
      <c r="R63" s="225"/>
      <c r="S63" s="226"/>
      <c r="T63" s="227"/>
    </row>
    <row r="64" spans="11:20" s="224" customFormat="1" ht="17.25">
      <c r="K64" s="225"/>
      <c r="L64" s="225"/>
      <c r="M64" s="225"/>
      <c r="N64" s="225"/>
      <c r="O64" s="225"/>
      <c r="P64" s="225"/>
      <c r="Q64" s="225"/>
      <c r="R64" s="225"/>
      <c r="S64" s="226"/>
      <c r="T64" s="227"/>
    </row>
    <row r="65" spans="11:20" s="224" customFormat="1" ht="17.25">
      <c r="K65" s="225"/>
      <c r="L65" s="225"/>
      <c r="M65" s="225"/>
      <c r="N65" s="225"/>
      <c r="O65" s="225"/>
      <c r="P65" s="225"/>
      <c r="Q65" s="225"/>
      <c r="R65" s="225"/>
      <c r="S65" s="226"/>
      <c r="T65" s="227"/>
    </row>
    <row r="66" spans="11:20" s="224" customFormat="1" ht="17.25">
      <c r="K66" s="225"/>
      <c r="L66" s="225"/>
      <c r="M66" s="225"/>
      <c r="N66" s="225"/>
      <c r="O66" s="225"/>
      <c r="P66" s="225"/>
      <c r="Q66" s="225"/>
      <c r="R66" s="225"/>
      <c r="S66" s="226"/>
      <c r="T66" s="227"/>
    </row>
    <row r="67" spans="11:20" s="224" customFormat="1" ht="17.25">
      <c r="K67" s="225"/>
      <c r="L67" s="225"/>
      <c r="M67" s="225"/>
      <c r="N67" s="225"/>
      <c r="O67" s="225"/>
      <c r="P67" s="225"/>
      <c r="Q67" s="225"/>
      <c r="R67" s="225"/>
      <c r="S67" s="226"/>
      <c r="T67" s="227"/>
    </row>
    <row r="68" spans="11:20" s="224" customFormat="1" ht="17.25">
      <c r="K68" s="225"/>
      <c r="L68" s="225"/>
      <c r="M68" s="225"/>
      <c r="N68" s="225"/>
      <c r="O68" s="225"/>
      <c r="P68" s="225"/>
      <c r="Q68" s="225"/>
      <c r="R68" s="225"/>
      <c r="S68" s="226"/>
      <c r="T68" s="227"/>
    </row>
    <row r="69" spans="11:20" s="224" customFormat="1" ht="17.25">
      <c r="K69" s="225"/>
      <c r="L69" s="225"/>
      <c r="M69" s="225"/>
      <c r="N69" s="225"/>
      <c r="O69" s="225"/>
      <c r="P69" s="225"/>
      <c r="Q69" s="225"/>
      <c r="R69" s="225"/>
      <c r="S69" s="226"/>
      <c r="T69" s="227"/>
    </row>
    <row r="70" spans="11:20" s="224" customFormat="1" ht="17.25">
      <c r="K70" s="225"/>
      <c r="L70" s="225"/>
      <c r="M70" s="225"/>
      <c r="N70" s="225"/>
      <c r="O70" s="225"/>
      <c r="P70" s="225"/>
      <c r="Q70" s="225"/>
      <c r="R70" s="225"/>
      <c r="S70" s="226"/>
      <c r="T70" s="227"/>
    </row>
    <row r="71" spans="11:20" s="224" customFormat="1" ht="17.25">
      <c r="K71" s="225"/>
      <c r="L71" s="225"/>
      <c r="M71" s="225"/>
      <c r="N71" s="225"/>
      <c r="O71" s="225"/>
      <c r="P71" s="225"/>
      <c r="Q71" s="225"/>
      <c r="R71" s="225"/>
      <c r="S71" s="226"/>
      <c r="T71" s="227"/>
    </row>
    <row r="72" spans="11:20" s="224" customFormat="1" ht="17.25">
      <c r="K72" s="225"/>
      <c r="L72" s="225"/>
      <c r="M72" s="225"/>
      <c r="N72" s="225"/>
      <c r="O72" s="225"/>
      <c r="P72" s="225"/>
      <c r="Q72" s="225"/>
      <c r="R72" s="225"/>
      <c r="S72" s="226"/>
      <c r="T72" s="227"/>
    </row>
    <row r="73" spans="11:20" s="224" customFormat="1" ht="17.25">
      <c r="K73" s="225"/>
      <c r="L73" s="225"/>
      <c r="M73" s="225"/>
      <c r="N73" s="225"/>
      <c r="O73" s="225"/>
      <c r="P73" s="225"/>
      <c r="Q73" s="225"/>
      <c r="R73" s="225"/>
      <c r="S73" s="226"/>
      <c r="T73" s="227"/>
    </row>
    <row r="74" spans="11:20" s="224" customFormat="1" ht="17.25">
      <c r="K74" s="225"/>
      <c r="L74" s="225"/>
      <c r="M74" s="225"/>
      <c r="N74" s="225"/>
      <c r="O74" s="225"/>
      <c r="P74" s="225"/>
      <c r="Q74" s="225"/>
      <c r="R74" s="225"/>
      <c r="S74" s="226"/>
      <c r="T74" s="227"/>
    </row>
    <row r="75" spans="11:20" s="224" customFormat="1" ht="17.25">
      <c r="K75" s="225"/>
      <c r="L75" s="225"/>
      <c r="M75" s="225"/>
      <c r="N75" s="225"/>
      <c r="O75" s="225"/>
      <c r="P75" s="225"/>
      <c r="Q75" s="225"/>
      <c r="R75" s="225"/>
      <c r="S75" s="226"/>
      <c r="T75" s="227"/>
    </row>
    <row r="76" spans="11:20" s="224" customFormat="1" ht="17.25">
      <c r="K76" s="225"/>
      <c r="L76" s="225"/>
      <c r="M76" s="225"/>
      <c r="N76" s="225"/>
      <c r="O76" s="225"/>
      <c r="P76" s="225"/>
      <c r="Q76" s="225"/>
      <c r="R76" s="225"/>
      <c r="S76" s="226"/>
      <c r="T76" s="227"/>
    </row>
    <row r="77" spans="11:20" s="224" customFormat="1" ht="17.25">
      <c r="K77" s="225"/>
      <c r="L77" s="225"/>
      <c r="M77" s="225"/>
      <c r="N77" s="225"/>
      <c r="O77" s="225"/>
      <c r="P77" s="225"/>
      <c r="Q77" s="225"/>
      <c r="R77" s="225"/>
      <c r="S77" s="226"/>
      <c r="T77" s="227"/>
    </row>
    <row r="78" spans="11:20" s="224" customFormat="1" ht="17.25">
      <c r="K78" s="225"/>
      <c r="L78" s="225"/>
      <c r="M78" s="225"/>
      <c r="N78" s="225"/>
      <c r="O78" s="225"/>
      <c r="P78" s="225"/>
      <c r="Q78" s="225"/>
      <c r="R78" s="225"/>
      <c r="S78" s="226"/>
      <c r="T78" s="227"/>
    </row>
    <row r="79" spans="11:20" s="224" customFormat="1" ht="17.25">
      <c r="K79" s="225"/>
      <c r="L79" s="225"/>
      <c r="M79" s="225"/>
      <c r="N79" s="225"/>
      <c r="O79" s="225"/>
      <c r="P79" s="225"/>
      <c r="Q79" s="225"/>
      <c r="R79" s="225"/>
      <c r="S79" s="226"/>
      <c r="T79" s="227"/>
    </row>
    <row r="80" spans="11:20" s="224" customFormat="1" ht="17.25">
      <c r="K80" s="225"/>
      <c r="L80" s="225"/>
      <c r="M80" s="225"/>
      <c r="N80" s="225"/>
      <c r="O80" s="225"/>
      <c r="P80" s="225"/>
      <c r="Q80" s="225"/>
      <c r="R80" s="225"/>
      <c r="S80" s="226"/>
      <c r="T80" s="227"/>
    </row>
    <row r="81" spans="11:20" s="224" customFormat="1" ht="17.25">
      <c r="K81" s="225"/>
      <c r="L81" s="225"/>
      <c r="M81" s="225"/>
      <c r="N81" s="225"/>
      <c r="O81" s="225"/>
      <c r="P81" s="225"/>
      <c r="Q81" s="225"/>
      <c r="R81" s="225"/>
      <c r="S81" s="226"/>
      <c r="T81" s="227"/>
    </row>
    <row r="82" spans="11:20" s="224" customFormat="1" ht="17.25">
      <c r="K82" s="225"/>
      <c r="L82" s="225"/>
      <c r="M82" s="225"/>
      <c r="N82" s="225"/>
      <c r="O82" s="225"/>
      <c r="P82" s="225"/>
      <c r="Q82" s="225"/>
      <c r="R82" s="225"/>
      <c r="S82" s="226"/>
      <c r="T82" s="227"/>
    </row>
    <row r="83" spans="11:20" s="224" customFormat="1" ht="17.25">
      <c r="K83" s="225"/>
      <c r="L83" s="225"/>
      <c r="M83" s="225"/>
      <c r="N83" s="225"/>
      <c r="O83" s="225"/>
      <c r="P83" s="225"/>
      <c r="Q83" s="225"/>
      <c r="R83" s="225"/>
      <c r="S83" s="226"/>
      <c r="T83" s="227"/>
    </row>
    <row r="84" spans="11:20" s="224" customFormat="1" ht="17.25">
      <c r="K84" s="225"/>
      <c r="L84" s="225"/>
      <c r="M84" s="225"/>
      <c r="N84" s="225"/>
      <c r="O84" s="225"/>
      <c r="P84" s="225"/>
      <c r="Q84" s="225"/>
      <c r="R84" s="225"/>
      <c r="S84" s="226"/>
      <c r="T84" s="227"/>
    </row>
    <row r="85" spans="11:20" s="224" customFormat="1" ht="17.25">
      <c r="K85" s="225"/>
      <c r="L85" s="225"/>
      <c r="M85" s="225"/>
      <c r="N85" s="225"/>
      <c r="O85" s="225"/>
      <c r="P85" s="225"/>
      <c r="Q85" s="225"/>
      <c r="R85" s="225"/>
      <c r="S85" s="226"/>
      <c r="T85" s="227"/>
    </row>
    <row r="86" spans="11:20" s="224" customFormat="1" ht="17.25">
      <c r="K86" s="225"/>
      <c r="L86" s="225"/>
      <c r="M86" s="225"/>
      <c r="N86" s="225"/>
      <c r="O86" s="225"/>
      <c r="P86" s="225"/>
      <c r="Q86" s="225"/>
      <c r="R86" s="225"/>
      <c r="S86" s="226"/>
      <c r="T86" s="227"/>
    </row>
    <row r="87" spans="11:20" s="224" customFormat="1" ht="17.25">
      <c r="K87" s="225"/>
      <c r="L87" s="225"/>
      <c r="M87" s="225"/>
      <c r="N87" s="225"/>
      <c r="O87" s="225"/>
      <c r="P87" s="225"/>
      <c r="Q87" s="225"/>
      <c r="R87" s="225"/>
      <c r="S87" s="226"/>
      <c r="T87" s="227"/>
    </row>
    <row r="88" spans="11:20" s="224" customFormat="1" ht="17.25">
      <c r="K88" s="225"/>
      <c r="L88" s="225"/>
      <c r="M88" s="225"/>
      <c r="N88" s="225"/>
      <c r="O88" s="225"/>
      <c r="P88" s="225"/>
      <c r="Q88" s="225"/>
      <c r="R88" s="225"/>
      <c r="S88" s="226"/>
      <c r="T88" s="227"/>
    </row>
    <row r="89" spans="11:20" s="224" customFormat="1" ht="17.25">
      <c r="K89" s="225"/>
      <c r="L89" s="225"/>
      <c r="M89" s="225"/>
      <c r="N89" s="225"/>
      <c r="O89" s="225"/>
      <c r="P89" s="225"/>
      <c r="Q89" s="225"/>
      <c r="R89" s="225"/>
      <c r="S89" s="226"/>
      <c r="T89" s="227"/>
    </row>
    <row r="90" spans="11:20" s="224" customFormat="1" ht="17.25">
      <c r="K90" s="225"/>
      <c r="L90" s="225"/>
      <c r="M90" s="225"/>
      <c r="N90" s="225"/>
      <c r="O90" s="225"/>
      <c r="P90" s="225"/>
      <c r="Q90" s="225"/>
      <c r="R90" s="225"/>
      <c r="S90" s="226"/>
      <c r="T90" s="227"/>
    </row>
    <row r="91" spans="11:20" s="224" customFormat="1" ht="17.25">
      <c r="K91" s="225"/>
      <c r="L91" s="225"/>
      <c r="M91" s="225"/>
      <c r="N91" s="225"/>
      <c r="O91" s="225"/>
      <c r="P91" s="225"/>
      <c r="Q91" s="225"/>
      <c r="R91" s="225"/>
      <c r="S91" s="226"/>
      <c r="T91" s="227"/>
    </row>
    <row r="92" spans="11:20" s="224" customFormat="1" ht="17.25">
      <c r="K92" s="225"/>
      <c r="L92" s="225"/>
      <c r="M92" s="225"/>
      <c r="N92" s="225"/>
      <c r="O92" s="225"/>
      <c r="P92" s="225"/>
      <c r="Q92" s="225"/>
      <c r="R92" s="225"/>
      <c r="S92" s="226"/>
      <c r="T92" s="227"/>
    </row>
    <row r="93" spans="11:20" s="224" customFormat="1" ht="17.25">
      <c r="K93" s="225"/>
      <c r="L93" s="225"/>
      <c r="M93" s="225"/>
      <c r="N93" s="225"/>
      <c r="O93" s="225"/>
      <c r="P93" s="225"/>
      <c r="Q93" s="225"/>
      <c r="R93" s="225"/>
      <c r="S93" s="226"/>
      <c r="T93" s="227"/>
    </row>
    <row r="94" spans="11:20" s="224" customFormat="1" ht="17.25">
      <c r="K94" s="225"/>
      <c r="L94" s="225"/>
      <c r="M94" s="225"/>
      <c r="N94" s="225"/>
      <c r="O94" s="225"/>
      <c r="P94" s="225"/>
      <c r="Q94" s="225"/>
      <c r="R94" s="225"/>
      <c r="S94" s="226"/>
      <c r="T94" s="227"/>
    </row>
    <row r="95" spans="11:20" s="224" customFormat="1" ht="17.25">
      <c r="K95" s="225"/>
      <c r="L95" s="225"/>
      <c r="M95" s="225"/>
      <c r="N95" s="225"/>
      <c r="O95" s="225"/>
      <c r="P95" s="225"/>
      <c r="Q95" s="225"/>
      <c r="R95" s="225"/>
      <c r="S95" s="226"/>
      <c r="T95" s="227"/>
    </row>
    <row r="96" spans="11:20" s="224" customFormat="1" ht="17.25">
      <c r="K96" s="225"/>
      <c r="L96" s="225"/>
      <c r="M96" s="225"/>
      <c r="N96" s="225"/>
      <c r="O96" s="225"/>
      <c r="P96" s="225"/>
      <c r="Q96" s="225"/>
      <c r="R96" s="225"/>
      <c r="S96" s="226"/>
      <c r="T96" s="227"/>
    </row>
    <row r="97" spans="11:20" s="224" customFormat="1" ht="17.25">
      <c r="K97" s="225"/>
      <c r="L97" s="225"/>
      <c r="M97" s="225"/>
      <c r="N97" s="225"/>
      <c r="O97" s="225"/>
      <c r="P97" s="225"/>
      <c r="Q97" s="225"/>
      <c r="R97" s="225"/>
      <c r="S97" s="226"/>
      <c r="T97" s="227"/>
    </row>
    <row r="98" spans="11:20" s="224" customFormat="1" ht="17.25">
      <c r="K98" s="225"/>
      <c r="L98" s="225"/>
      <c r="M98" s="225"/>
      <c r="N98" s="225"/>
      <c r="O98" s="225"/>
      <c r="P98" s="225"/>
      <c r="Q98" s="225"/>
      <c r="R98" s="225"/>
      <c r="S98" s="226"/>
      <c r="T98" s="227"/>
    </row>
    <row r="99" spans="11:20" s="224" customFormat="1" ht="17.25">
      <c r="K99" s="225"/>
      <c r="L99" s="225"/>
      <c r="M99" s="225"/>
      <c r="N99" s="225"/>
      <c r="O99" s="225"/>
      <c r="P99" s="225"/>
      <c r="Q99" s="225"/>
      <c r="R99" s="225"/>
      <c r="S99" s="226"/>
      <c r="T99" s="227"/>
    </row>
    <row r="100" spans="11:20" s="224" customFormat="1" ht="17.25">
      <c r="K100" s="225"/>
      <c r="L100" s="225"/>
      <c r="M100" s="225"/>
      <c r="N100" s="225"/>
      <c r="O100" s="225"/>
      <c r="P100" s="225"/>
      <c r="Q100" s="225"/>
      <c r="R100" s="225"/>
      <c r="S100" s="226"/>
      <c r="T100" s="227"/>
    </row>
    <row r="101" spans="11:20" s="224" customFormat="1" ht="17.25">
      <c r="K101" s="225"/>
      <c r="L101" s="225"/>
      <c r="M101" s="225"/>
      <c r="N101" s="225"/>
      <c r="O101" s="225"/>
      <c r="P101" s="225"/>
      <c r="Q101" s="225"/>
      <c r="R101" s="225"/>
      <c r="S101" s="226"/>
      <c r="T101" s="227"/>
    </row>
    <row r="102" spans="11:20" s="224" customFormat="1" ht="17.25">
      <c r="K102" s="225"/>
      <c r="L102" s="225"/>
      <c r="M102" s="225"/>
      <c r="N102" s="225"/>
      <c r="O102" s="225"/>
      <c r="P102" s="225"/>
      <c r="Q102" s="225"/>
      <c r="R102" s="225"/>
      <c r="S102" s="226"/>
      <c r="T102" s="227"/>
    </row>
    <row r="103" spans="11:20" s="224" customFormat="1" ht="17.25">
      <c r="K103" s="225"/>
      <c r="L103" s="225"/>
      <c r="M103" s="225"/>
      <c r="N103" s="225"/>
      <c r="O103" s="225"/>
      <c r="P103" s="225"/>
      <c r="Q103" s="225"/>
      <c r="R103" s="225"/>
      <c r="S103" s="226"/>
      <c r="T103" s="227"/>
    </row>
    <row r="104" spans="11:20" s="224" customFormat="1" ht="17.25">
      <c r="K104" s="225"/>
      <c r="L104" s="225"/>
      <c r="M104" s="225"/>
      <c r="N104" s="225"/>
      <c r="O104" s="225"/>
      <c r="P104" s="225"/>
      <c r="Q104" s="225"/>
      <c r="R104" s="225"/>
      <c r="S104" s="226"/>
      <c r="T104" s="227"/>
    </row>
    <row r="105" spans="11:20" s="224" customFormat="1" ht="17.25">
      <c r="K105" s="225"/>
      <c r="L105" s="225"/>
      <c r="M105" s="225"/>
      <c r="N105" s="225"/>
      <c r="O105" s="225"/>
      <c r="P105" s="225"/>
      <c r="Q105" s="225"/>
      <c r="R105" s="225"/>
      <c r="S105" s="226"/>
      <c r="T105" s="227"/>
    </row>
    <row r="106" spans="11:20" s="224" customFormat="1" ht="17.25">
      <c r="K106" s="225"/>
      <c r="L106" s="225"/>
      <c r="M106" s="225"/>
      <c r="N106" s="225"/>
      <c r="O106" s="225"/>
      <c r="P106" s="225"/>
      <c r="Q106" s="225"/>
      <c r="R106" s="225"/>
      <c r="S106" s="226"/>
      <c r="T106" s="227"/>
    </row>
    <row r="107" spans="11:20" s="224" customFormat="1" ht="17.25">
      <c r="K107" s="225"/>
      <c r="L107" s="225"/>
      <c r="M107" s="225"/>
      <c r="N107" s="225"/>
      <c r="O107" s="225"/>
      <c r="P107" s="225"/>
      <c r="Q107" s="225"/>
      <c r="R107" s="225"/>
      <c r="S107" s="226"/>
      <c r="T107" s="227"/>
    </row>
    <row r="108" spans="11:20" s="224" customFormat="1" ht="17.25">
      <c r="K108" s="225"/>
      <c r="L108" s="225"/>
      <c r="M108" s="225"/>
      <c r="N108" s="225"/>
      <c r="O108" s="225"/>
      <c r="P108" s="225"/>
      <c r="Q108" s="225"/>
      <c r="R108" s="225"/>
      <c r="S108" s="226"/>
      <c r="T108" s="227"/>
    </row>
    <row r="109" spans="11:20" s="224" customFormat="1" ht="17.25">
      <c r="K109" s="225"/>
      <c r="L109" s="225"/>
      <c r="M109" s="225"/>
      <c r="N109" s="225"/>
      <c r="O109" s="225"/>
      <c r="P109" s="225"/>
      <c r="Q109" s="225"/>
      <c r="R109" s="225"/>
      <c r="S109" s="226"/>
      <c r="T109" s="227"/>
    </row>
    <row r="110" spans="11:20" s="224" customFormat="1" ht="17.25">
      <c r="K110" s="225"/>
      <c r="L110" s="225"/>
      <c r="M110" s="225"/>
      <c r="N110" s="225"/>
      <c r="O110" s="225"/>
      <c r="P110" s="225"/>
      <c r="Q110" s="225"/>
      <c r="R110" s="225"/>
      <c r="S110" s="226"/>
      <c r="T110" s="227"/>
    </row>
    <row r="111" spans="11:20" s="224" customFormat="1" ht="17.25">
      <c r="K111" s="225"/>
      <c r="L111" s="225"/>
      <c r="M111" s="225"/>
      <c r="N111" s="225"/>
      <c r="O111" s="225"/>
      <c r="P111" s="225"/>
      <c r="Q111" s="225"/>
      <c r="R111" s="225"/>
      <c r="S111" s="226"/>
      <c r="T111" s="227"/>
    </row>
    <row r="112" spans="11:20" s="224" customFormat="1" ht="17.25">
      <c r="K112" s="225"/>
      <c r="L112" s="225"/>
      <c r="M112" s="225"/>
      <c r="N112" s="225"/>
      <c r="O112" s="225"/>
      <c r="P112" s="225"/>
      <c r="Q112" s="225"/>
      <c r="R112" s="225"/>
      <c r="S112" s="226"/>
      <c r="T112" s="227"/>
    </row>
    <row r="113" spans="11:20" s="224" customFormat="1" ht="17.25">
      <c r="K113" s="225"/>
      <c r="L113" s="225"/>
      <c r="M113" s="225"/>
      <c r="N113" s="225"/>
      <c r="O113" s="225"/>
      <c r="P113" s="225"/>
      <c r="Q113" s="225"/>
      <c r="R113" s="225"/>
      <c r="S113" s="226"/>
      <c r="T113" s="227"/>
    </row>
    <row r="114" spans="11:20" s="224" customFormat="1" ht="17.25">
      <c r="K114" s="225"/>
      <c r="L114" s="225"/>
      <c r="M114" s="225"/>
      <c r="N114" s="225"/>
      <c r="O114" s="225"/>
      <c r="P114" s="225"/>
      <c r="Q114" s="225"/>
      <c r="R114" s="225"/>
      <c r="S114" s="226"/>
      <c r="T114" s="227"/>
    </row>
    <row r="115" spans="11:20" s="224" customFormat="1" ht="17.25">
      <c r="K115" s="225"/>
      <c r="L115" s="225"/>
      <c r="M115" s="225"/>
      <c r="N115" s="225"/>
      <c r="O115" s="225"/>
      <c r="P115" s="225"/>
      <c r="Q115" s="225"/>
      <c r="R115" s="225"/>
      <c r="S115" s="226"/>
      <c r="T115" s="227"/>
    </row>
    <row r="116" spans="11:20" s="224" customFormat="1" ht="17.25">
      <c r="K116" s="225"/>
      <c r="L116" s="225"/>
      <c r="M116" s="225"/>
      <c r="N116" s="225"/>
      <c r="O116" s="225"/>
      <c r="P116" s="225"/>
      <c r="Q116" s="225"/>
      <c r="R116" s="225"/>
      <c r="S116" s="226"/>
      <c r="T116" s="227"/>
    </row>
    <row r="117" spans="11:20" s="224" customFormat="1" ht="17.25">
      <c r="K117" s="225"/>
      <c r="L117" s="225"/>
      <c r="M117" s="225"/>
      <c r="N117" s="225"/>
      <c r="O117" s="225"/>
      <c r="P117" s="225"/>
      <c r="Q117" s="225"/>
      <c r="R117" s="225"/>
      <c r="S117" s="226"/>
      <c r="T117" s="227"/>
    </row>
    <row r="118" spans="11:20" s="224" customFormat="1" ht="17.25">
      <c r="K118" s="225"/>
      <c r="L118" s="225"/>
      <c r="M118" s="225"/>
      <c r="N118" s="225"/>
      <c r="O118" s="225"/>
      <c r="P118" s="225"/>
      <c r="Q118" s="225"/>
      <c r="R118" s="225"/>
      <c r="S118" s="226"/>
      <c r="T118" s="227"/>
    </row>
    <row r="119" spans="11:20" s="224" customFormat="1" ht="17.25">
      <c r="K119" s="225"/>
      <c r="L119" s="225"/>
      <c r="M119" s="225"/>
      <c r="N119" s="225"/>
      <c r="O119" s="225"/>
      <c r="P119" s="225"/>
      <c r="Q119" s="225"/>
      <c r="R119" s="225"/>
      <c r="S119" s="226"/>
      <c r="T119" s="227"/>
    </row>
    <row r="120" spans="11:20" s="224" customFormat="1" ht="17.25">
      <c r="K120" s="225"/>
      <c r="L120" s="225"/>
      <c r="M120" s="225"/>
      <c r="N120" s="225"/>
      <c r="O120" s="225"/>
      <c r="P120" s="225"/>
      <c r="Q120" s="225"/>
      <c r="R120" s="225"/>
      <c r="S120" s="226"/>
      <c r="T120" s="227"/>
    </row>
    <row r="121" spans="11:20" s="224" customFormat="1" ht="17.25">
      <c r="K121" s="225"/>
      <c r="L121" s="225"/>
      <c r="M121" s="225"/>
      <c r="N121" s="225"/>
      <c r="O121" s="225"/>
      <c r="P121" s="225"/>
      <c r="Q121" s="225"/>
      <c r="R121" s="225"/>
      <c r="S121" s="226"/>
      <c r="T121" s="227"/>
    </row>
    <row r="122" spans="11:20" s="224" customFormat="1" ht="17.25">
      <c r="K122" s="225"/>
      <c r="L122" s="225"/>
      <c r="M122" s="225"/>
      <c r="N122" s="225"/>
      <c r="O122" s="225"/>
      <c r="P122" s="225"/>
      <c r="Q122" s="225"/>
      <c r="R122" s="225"/>
      <c r="S122" s="226"/>
      <c r="T122" s="227"/>
    </row>
    <row r="123" spans="11:20" s="224" customFormat="1" ht="17.25">
      <c r="K123" s="225"/>
      <c r="L123" s="225"/>
      <c r="M123" s="225"/>
      <c r="N123" s="225"/>
      <c r="O123" s="225"/>
      <c r="P123" s="225"/>
      <c r="Q123" s="225"/>
      <c r="R123" s="225"/>
      <c r="S123" s="226"/>
      <c r="T123" s="227"/>
    </row>
    <row r="124" spans="11:20" s="224" customFormat="1" ht="17.25">
      <c r="K124" s="225"/>
      <c r="L124" s="225"/>
      <c r="M124" s="225"/>
      <c r="N124" s="225"/>
      <c r="O124" s="225"/>
      <c r="P124" s="225"/>
      <c r="Q124" s="225"/>
      <c r="R124" s="225"/>
      <c r="S124" s="226"/>
      <c r="T124" s="227"/>
    </row>
    <row r="125" spans="11:20" s="224" customFormat="1" ht="17.25">
      <c r="K125" s="225"/>
      <c r="L125" s="225"/>
      <c r="M125" s="225"/>
      <c r="N125" s="225"/>
      <c r="O125" s="225"/>
      <c r="P125" s="225"/>
      <c r="Q125" s="225"/>
      <c r="R125" s="225"/>
      <c r="S125" s="226"/>
      <c r="T125" s="227"/>
    </row>
    <row r="126" spans="11:20" s="224" customFormat="1" ht="17.25">
      <c r="K126" s="225"/>
      <c r="L126" s="225"/>
      <c r="M126" s="225"/>
      <c r="N126" s="225"/>
      <c r="O126" s="225"/>
      <c r="P126" s="225"/>
      <c r="Q126" s="225"/>
      <c r="R126" s="225"/>
      <c r="S126" s="226"/>
      <c r="T126" s="227"/>
    </row>
    <row r="127" spans="11:20" s="224" customFormat="1" ht="17.25">
      <c r="K127" s="225"/>
      <c r="L127" s="225"/>
      <c r="M127" s="225"/>
      <c r="N127" s="225"/>
      <c r="O127" s="225"/>
      <c r="P127" s="225"/>
      <c r="Q127" s="225"/>
      <c r="R127" s="225"/>
      <c r="S127" s="226"/>
      <c r="T127" s="227"/>
    </row>
    <row r="128" spans="11:20" s="224" customFormat="1" ht="17.25">
      <c r="K128" s="225"/>
      <c r="L128" s="225"/>
      <c r="M128" s="225"/>
      <c r="N128" s="225"/>
      <c r="O128" s="225"/>
      <c r="P128" s="225"/>
      <c r="Q128" s="225"/>
      <c r="R128" s="225"/>
      <c r="S128" s="226"/>
      <c r="T128" s="227"/>
    </row>
    <row r="129" spans="11:20" s="224" customFormat="1" ht="17.25">
      <c r="K129" s="225"/>
      <c r="L129" s="225"/>
      <c r="M129" s="225"/>
      <c r="N129" s="225"/>
      <c r="O129" s="225"/>
      <c r="P129" s="225"/>
      <c r="Q129" s="225"/>
      <c r="R129" s="225"/>
      <c r="S129" s="226"/>
      <c r="T129" s="227"/>
    </row>
    <row r="130" spans="11:20" s="224" customFormat="1" ht="17.25">
      <c r="K130" s="225"/>
      <c r="L130" s="225"/>
      <c r="M130" s="225"/>
      <c r="N130" s="225"/>
      <c r="O130" s="225"/>
      <c r="P130" s="225"/>
      <c r="Q130" s="225"/>
      <c r="R130" s="225"/>
      <c r="S130" s="226"/>
      <c r="T130" s="227"/>
    </row>
    <row r="131" spans="11:20" s="224" customFormat="1" ht="17.25">
      <c r="K131" s="225"/>
      <c r="L131" s="225"/>
      <c r="M131" s="225"/>
      <c r="N131" s="225"/>
      <c r="O131" s="225"/>
      <c r="P131" s="225"/>
      <c r="Q131" s="225"/>
      <c r="R131" s="225"/>
      <c r="S131" s="226"/>
      <c r="T131" s="227"/>
    </row>
    <row r="132" spans="11:20" s="224" customFormat="1" ht="17.25">
      <c r="K132" s="225"/>
      <c r="L132" s="225"/>
      <c r="M132" s="225"/>
      <c r="N132" s="225"/>
      <c r="O132" s="225"/>
      <c r="P132" s="225"/>
      <c r="Q132" s="225"/>
      <c r="R132" s="225"/>
      <c r="S132" s="226"/>
      <c r="T132" s="227"/>
    </row>
    <row r="133" spans="11:20" s="224" customFormat="1" ht="17.25">
      <c r="K133" s="225"/>
      <c r="L133" s="225"/>
      <c r="M133" s="225"/>
      <c r="N133" s="225"/>
      <c r="O133" s="225"/>
      <c r="P133" s="225"/>
      <c r="Q133" s="225"/>
      <c r="R133" s="225"/>
      <c r="S133" s="226"/>
      <c r="T133" s="227"/>
    </row>
    <row r="134" spans="11:20" s="224" customFormat="1" ht="17.25">
      <c r="K134" s="225"/>
      <c r="L134" s="225"/>
      <c r="M134" s="225"/>
      <c r="N134" s="225"/>
      <c r="O134" s="225"/>
      <c r="P134" s="225"/>
      <c r="Q134" s="225"/>
      <c r="R134" s="225"/>
      <c r="S134" s="226"/>
      <c r="T134" s="227"/>
    </row>
    <row r="135" spans="11:20" s="224" customFormat="1" ht="17.25">
      <c r="K135" s="225"/>
      <c r="L135" s="225"/>
      <c r="M135" s="225"/>
      <c r="N135" s="225"/>
      <c r="O135" s="225"/>
      <c r="P135" s="225"/>
      <c r="Q135" s="225"/>
      <c r="R135" s="225"/>
      <c r="S135" s="226"/>
      <c r="T135" s="227"/>
    </row>
    <row r="136" spans="11:20" s="224" customFormat="1" ht="17.25">
      <c r="K136" s="225"/>
      <c r="L136" s="225"/>
      <c r="M136" s="225"/>
      <c r="N136" s="225"/>
      <c r="O136" s="225"/>
      <c r="P136" s="225"/>
      <c r="Q136" s="225"/>
      <c r="R136" s="225"/>
      <c r="S136" s="226"/>
      <c r="T136" s="227"/>
    </row>
    <row r="137" spans="11:20" s="224" customFormat="1" ht="17.25">
      <c r="K137" s="225"/>
      <c r="L137" s="225"/>
      <c r="M137" s="225"/>
      <c r="N137" s="225"/>
      <c r="O137" s="225"/>
      <c r="P137" s="225"/>
      <c r="Q137" s="225"/>
      <c r="R137" s="225"/>
      <c r="S137" s="226"/>
      <c r="T137" s="227"/>
    </row>
    <row r="138" spans="11:20" s="224" customFormat="1" ht="17.25">
      <c r="K138" s="225"/>
      <c r="L138" s="225"/>
      <c r="M138" s="225"/>
      <c r="N138" s="225"/>
      <c r="O138" s="225"/>
      <c r="P138" s="225"/>
      <c r="Q138" s="225"/>
      <c r="R138" s="225"/>
      <c r="S138" s="226"/>
      <c r="T138" s="227"/>
    </row>
    <row r="139" spans="11:20" s="224" customFormat="1" ht="17.25">
      <c r="K139" s="225"/>
      <c r="L139" s="225"/>
      <c r="M139" s="225"/>
      <c r="N139" s="225"/>
      <c r="O139" s="225"/>
      <c r="P139" s="225"/>
      <c r="Q139" s="225"/>
      <c r="R139" s="225"/>
      <c r="S139" s="226"/>
      <c r="T139" s="227"/>
    </row>
    <row r="140" spans="11:20" s="224" customFormat="1" ht="17.25">
      <c r="K140" s="225"/>
      <c r="L140" s="225"/>
      <c r="M140" s="225"/>
      <c r="N140" s="225"/>
      <c r="O140" s="225"/>
      <c r="P140" s="225"/>
      <c r="Q140" s="225"/>
      <c r="R140" s="225"/>
      <c r="S140" s="226"/>
      <c r="T140" s="227"/>
    </row>
    <row r="141" spans="11:20" s="224" customFormat="1" ht="17.25">
      <c r="K141" s="225"/>
      <c r="L141" s="225"/>
      <c r="M141" s="225"/>
      <c r="N141" s="225"/>
      <c r="O141" s="225"/>
      <c r="P141" s="225"/>
      <c r="Q141" s="225"/>
      <c r="R141" s="225"/>
      <c r="S141" s="226"/>
      <c r="T141" s="227"/>
    </row>
    <row r="142" spans="11:20" s="224" customFormat="1" ht="17.25">
      <c r="K142" s="225"/>
      <c r="L142" s="225"/>
      <c r="M142" s="225"/>
      <c r="N142" s="225"/>
      <c r="O142" s="225"/>
      <c r="P142" s="225"/>
      <c r="Q142" s="225"/>
      <c r="R142" s="225"/>
      <c r="S142" s="226"/>
      <c r="T142" s="227"/>
    </row>
    <row r="143" spans="11:20" s="224" customFormat="1" ht="17.25">
      <c r="K143" s="225"/>
      <c r="L143" s="225"/>
      <c r="M143" s="225"/>
      <c r="N143" s="225"/>
      <c r="O143" s="225"/>
      <c r="P143" s="225"/>
      <c r="Q143" s="225"/>
      <c r="R143" s="225"/>
      <c r="S143" s="226"/>
      <c r="T143" s="227"/>
    </row>
    <row r="144" spans="11:20" s="224" customFormat="1" ht="17.25">
      <c r="K144" s="225"/>
      <c r="L144" s="225"/>
      <c r="M144" s="225"/>
      <c r="N144" s="225"/>
      <c r="O144" s="225"/>
      <c r="P144" s="225"/>
      <c r="Q144" s="225"/>
      <c r="R144" s="225"/>
      <c r="S144" s="226"/>
      <c r="T144" s="227"/>
    </row>
  </sheetData>
  <sheetProtection/>
  <mergeCells count="21">
    <mergeCell ref="A26:B26"/>
    <mergeCell ref="A27:B27"/>
    <mergeCell ref="A52:B52"/>
    <mergeCell ref="A34:B34"/>
    <mergeCell ref="A44:B44"/>
    <mergeCell ref="A45:B45"/>
    <mergeCell ref="A48:B48"/>
    <mergeCell ref="N6:R6"/>
    <mergeCell ref="A8:B8"/>
    <mergeCell ref="A5:B7"/>
    <mergeCell ref="D6:D7"/>
    <mergeCell ref="E6:G6"/>
    <mergeCell ref="H6:H7"/>
    <mergeCell ref="I6:I7"/>
    <mergeCell ref="J6:M6"/>
    <mergeCell ref="A18:B18"/>
    <mergeCell ref="A19:B19"/>
    <mergeCell ref="A9:B9"/>
    <mergeCell ref="A10:B10"/>
    <mergeCell ref="A11:B11"/>
    <mergeCell ref="A12:B12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68" r:id="rId1"/>
  <colBreaks count="1" manualBreakCount="1">
    <brk id="9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54"/>
  <sheetViews>
    <sheetView view="pageBreakPreview" zoomScaleSheetLayoutView="100" zoomScalePageLayoutView="0" workbookViewId="0" topLeftCell="A1">
      <pane xSplit="2" ySplit="5" topLeftCell="K12" activePane="bottomRight" state="frozen"/>
      <selection pane="topLeft" activeCell="H55" sqref="H55"/>
      <selection pane="topRight" activeCell="H55" sqref="H55"/>
      <selection pane="bottomLeft" activeCell="H55" sqref="H55"/>
      <selection pane="bottomRight" activeCell="O11" sqref="O11"/>
    </sheetView>
  </sheetViews>
  <sheetFormatPr defaultColWidth="10.75390625" defaultRowHeight="13.5"/>
  <cols>
    <col min="1" max="1" width="5.625" style="230" customWidth="1"/>
    <col min="2" max="2" width="18.875" style="230" customWidth="1"/>
    <col min="3" max="3" width="15.625" style="233" customWidth="1"/>
    <col min="4" max="4" width="14.00390625" style="233" customWidth="1"/>
    <col min="5" max="6" width="13.75390625" style="233" customWidth="1"/>
    <col min="7" max="8" width="13.125" style="233" customWidth="1"/>
    <col min="9" max="9" width="14.125" style="230" customWidth="1"/>
    <col min="10" max="13" width="13.125" style="230" customWidth="1"/>
    <col min="14" max="14" width="13.75390625" style="230" customWidth="1"/>
    <col min="15" max="17" width="13.125" style="230" customWidth="1"/>
    <col min="18" max="18" width="14.375" style="230" customWidth="1"/>
    <col min="19" max="19" width="5.625" style="230" bestFit="1" customWidth="1"/>
    <col min="20" max="16384" width="10.75390625" style="230" customWidth="1"/>
  </cols>
  <sheetData>
    <row r="1" spans="1:8" s="229" customFormat="1" ht="18.75">
      <c r="A1" s="228" t="s">
        <v>138</v>
      </c>
      <c r="C1" s="484"/>
      <c r="D1" s="484"/>
      <c r="E1" s="484"/>
      <c r="F1" s="484"/>
      <c r="G1" s="484"/>
      <c r="H1" s="484"/>
    </row>
    <row r="2" ht="17.25" thickBot="1">
      <c r="R2" s="231" t="s">
        <v>140</v>
      </c>
    </row>
    <row r="3" spans="1:19" s="233" customFormat="1" ht="15" customHeight="1">
      <c r="A3" s="959" t="s">
        <v>60</v>
      </c>
      <c r="B3" s="960"/>
      <c r="C3" s="965" t="s">
        <v>23</v>
      </c>
      <c r="D3" s="968" t="s">
        <v>89</v>
      </c>
      <c r="E3" s="969"/>
      <c r="F3" s="969"/>
      <c r="G3" s="969"/>
      <c r="H3" s="970"/>
      <c r="I3" s="968" t="s">
        <v>90</v>
      </c>
      <c r="J3" s="969"/>
      <c r="K3" s="969"/>
      <c r="L3" s="969"/>
      <c r="M3" s="969"/>
      <c r="N3" s="969"/>
      <c r="O3" s="969"/>
      <c r="P3" s="969"/>
      <c r="Q3" s="969"/>
      <c r="R3" s="971"/>
      <c r="S3" s="232"/>
    </row>
    <row r="4" spans="1:19" s="233" customFormat="1" ht="15" customHeight="1">
      <c r="A4" s="961"/>
      <c r="B4" s="962"/>
      <c r="C4" s="966"/>
      <c r="D4" s="972" t="s">
        <v>141</v>
      </c>
      <c r="E4" s="973" t="s">
        <v>93</v>
      </c>
      <c r="F4" s="974"/>
      <c r="G4" s="975"/>
      <c r="H4" s="972" t="s">
        <v>94</v>
      </c>
      <c r="I4" s="972" t="s">
        <v>92</v>
      </c>
      <c r="J4" s="973" t="s">
        <v>95</v>
      </c>
      <c r="K4" s="974"/>
      <c r="L4" s="974"/>
      <c r="M4" s="975"/>
      <c r="N4" s="973" t="s">
        <v>142</v>
      </c>
      <c r="O4" s="974"/>
      <c r="P4" s="974"/>
      <c r="Q4" s="974"/>
      <c r="R4" s="976"/>
      <c r="S4" s="234"/>
    </row>
    <row r="5" spans="1:19" s="238" customFormat="1" ht="15" customHeight="1" thickBot="1">
      <c r="A5" s="963"/>
      <c r="B5" s="964"/>
      <c r="C5" s="967"/>
      <c r="D5" s="967"/>
      <c r="E5" s="235" t="s">
        <v>143</v>
      </c>
      <c r="F5" s="235" t="s">
        <v>14</v>
      </c>
      <c r="G5" s="235" t="s">
        <v>96</v>
      </c>
      <c r="H5" s="967"/>
      <c r="I5" s="967"/>
      <c r="J5" s="235" t="s">
        <v>144</v>
      </c>
      <c r="K5" s="235" t="s">
        <v>97</v>
      </c>
      <c r="L5" s="235" t="s">
        <v>98</v>
      </c>
      <c r="M5" s="235" t="s">
        <v>99</v>
      </c>
      <c r="N5" s="235" t="s">
        <v>145</v>
      </c>
      <c r="O5" s="235" t="s">
        <v>250</v>
      </c>
      <c r="P5" s="235" t="s">
        <v>13</v>
      </c>
      <c r="Q5" s="235" t="s">
        <v>100</v>
      </c>
      <c r="R5" s="236" t="s">
        <v>101</v>
      </c>
      <c r="S5" s="237"/>
    </row>
    <row r="6" spans="1:19" s="233" customFormat="1" ht="27.75" customHeight="1">
      <c r="A6" s="955" t="s">
        <v>242</v>
      </c>
      <c r="B6" s="956"/>
      <c r="C6" s="239">
        <v>75887517</v>
      </c>
      <c r="D6" s="240">
        <v>23013191</v>
      </c>
      <c r="E6" s="240">
        <v>23013191</v>
      </c>
      <c r="F6" s="260">
        <v>22962714</v>
      </c>
      <c r="G6" s="260">
        <v>50477</v>
      </c>
      <c r="H6" s="261" t="s">
        <v>139</v>
      </c>
      <c r="I6" s="239">
        <v>52874326</v>
      </c>
      <c r="J6" s="240">
        <v>4480163</v>
      </c>
      <c r="K6" s="240">
        <v>1372117</v>
      </c>
      <c r="L6" s="240">
        <v>3050592</v>
      </c>
      <c r="M6" s="240">
        <v>57454</v>
      </c>
      <c r="N6" s="240">
        <v>48394163</v>
      </c>
      <c r="O6" s="240">
        <v>954536</v>
      </c>
      <c r="P6" s="240">
        <v>606732</v>
      </c>
      <c r="Q6" s="240">
        <v>9333173</v>
      </c>
      <c r="R6" s="241">
        <v>37499722</v>
      </c>
      <c r="S6" s="251" t="s">
        <v>243</v>
      </c>
    </row>
    <row r="7" spans="1:19" s="233" customFormat="1" ht="27.75" customHeight="1">
      <c r="A7" s="955" t="s">
        <v>244</v>
      </c>
      <c r="B7" s="956"/>
      <c r="C7" s="239">
        <v>82040830</v>
      </c>
      <c r="D7" s="240">
        <v>24295235</v>
      </c>
      <c r="E7" s="240">
        <v>24295235</v>
      </c>
      <c r="F7" s="240">
        <v>24250213</v>
      </c>
      <c r="G7" s="240">
        <v>45022</v>
      </c>
      <c r="H7" s="261" t="s">
        <v>139</v>
      </c>
      <c r="I7" s="239">
        <v>57745595</v>
      </c>
      <c r="J7" s="240">
        <v>5064666</v>
      </c>
      <c r="K7" s="240">
        <v>1458472</v>
      </c>
      <c r="L7" s="240">
        <v>3543331</v>
      </c>
      <c r="M7" s="240">
        <v>62863</v>
      </c>
      <c r="N7" s="240">
        <v>52680929</v>
      </c>
      <c r="O7" s="240">
        <v>1219642</v>
      </c>
      <c r="P7" s="240">
        <v>833526</v>
      </c>
      <c r="Q7" s="240">
        <v>9127125</v>
      </c>
      <c r="R7" s="241">
        <v>41500636</v>
      </c>
      <c r="S7" s="251" t="s">
        <v>245</v>
      </c>
    </row>
    <row r="8" spans="1:19" s="233" customFormat="1" ht="27.75" customHeight="1" thickBot="1">
      <c r="A8" s="957" t="s">
        <v>384</v>
      </c>
      <c r="B8" s="958"/>
      <c r="C8" s="242">
        <f aca="true" t="shared" si="0" ref="C8:C15">D8+I8</f>
        <v>86450563</v>
      </c>
      <c r="D8" s="242">
        <f>D9+D16+D24+D42</f>
        <v>25071025</v>
      </c>
      <c r="E8" s="242">
        <f>E9+E16+E24+E42</f>
        <v>25071025</v>
      </c>
      <c r="F8" s="242">
        <f>F9+F16+F24+F42</f>
        <v>25025063</v>
      </c>
      <c r="G8" s="242">
        <f>G9+G16+G24+G42</f>
        <v>45962</v>
      </c>
      <c r="H8" s="262" t="s">
        <v>139</v>
      </c>
      <c r="I8" s="242">
        <f aca="true" t="shared" si="1" ref="I8:R8">I9+I16+I24+I42</f>
        <v>61379538</v>
      </c>
      <c r="J8" s="243">
        <f t="shared" si="1"/>
        <v>5543164</v>
      </c>
      <c r="K8" s="243">
        <f t="shared" si="1"/>
        <v>1606781</v>
      </c>
      <c r="L8" s="243">
        <f t="shared" si="1"/>
        <v>3888100</v>
      </c>
      <c r="M8" s="243">
        <f t="shared" si="1"/>
        <v>48283</v>
      </c>
      <c r="N8" s="243">
        <f t="shared" si="1"/>
        <v>55836374</v>
      </c>
      <c r="O8" s="243">
        <f t="shared" si="1"/>
        <v>1435004</v>
      </c>
      <c r="P8" s="243">
        <f t="shared" si="1"/>
        <v>1020583</v>
      </c>
      <c r="Q8" s="243">
        <f t="shared" si="1"/>
        <v>9201897</v>
      </c>
      <c r="R8" s="244">
        <f t="shared" si="1"/>
        <v>44178890</v>
      </c>
      <c r="S8" s="245" t="s">
        <v>390</v>
      </c>
    </row>
    <row r="9" spans="1:19" s="233" customFormat="1" ht="26.25" customHeight="1">
      <c r="A9" s="933" t="s">
        <v>134</v>
      </c>
      <c r="B9" s="934"/>
      <c r="C9" s="246">
        <f t="shared" si="0"/>
        <v>22710261</v>
      </c>
      <c r="D9" s="249">
        <f>D10</f>
        <v>11738034</v>
      </c>
      <c r="E9" s="249">
        <f>E10</f>
        <v>11738034</v>
      </c>
      <c r="F9" s="249">
        <f>F10</f>
        <v>11708137</v>
      </c>
      <c r="G9" s="249">
        <f>G10</f>
        <v>29897</v>
      </c>
      <c r="H9" s="263">
        <v>0</v>
      </c>
      <c r="I9" s="247">
        <f>I10</f>
        <v>10972227</v>
      </c>
      <c r="J9" s="248">
        <f>SUM(K9:M9)</f>
        <v>593742</v>
      </c>
      <c r="K9" s="249">
        <f>K10</f>
        <v>130147</v>
      </c>
      <c r="L9" s="249">
        <f>L10</f>
        <v>463595</v>
      </c>
      <c r="M9" s="249">
        <v>0</v>
      </c>
      <c r="N9" s="246">
        <f>SUM(O9:R9)</f>
        <v>10378485</v>
      </c>
      <c r="O9" s="249">
        <f>O10</f>
        <v>306242</v>
      </c>
      <c r="P9" s="249">
        <f>P10</f>
        <v>149558</v>
      </c>
      <c r="Q9" s="249">
        <f>Q10</f>
        <v>4361044</v>
      </c>
      <c r="R9" s="250">
        <f>R10</f>
        <v>5561641</v>
      </c>
      <c r="S9" s="251"/>
    </row>
    <row r="10" spans="1:19" s="233" customFormat="1" ht="18" customHeight="1">
      <c r="A10" s="927" t="s">
        <v>381</v>
      </c>
      <c r="B10" s="928"/>
      <c r="C10" s="242">
        <f t="shared" si="0"/>
        <v>22710261</v>
      </c>
      <c r="D10" s="243">
        <f>SUM(D11:D15)</f>
        <v>11738034</v>
      </c>
      <c r="E10" s="243">
        <f>SUM(E11:E15)</f>
        <v>11738034</v>
      </c>
      <c r="F10" s="243">
        <f>SUM(F11:F15)</f>
        <v>11708137</v>
      </c>
      <c r="G10" s="243">
        <f>SUM(G11:G15)</f>
        <v>29897</v>
      </c>
      <c r="H10" s="264">
        <v>0</v>
      </c>
      <c r="I10" s="242">
        <f aca="true" t="shared" si="2" ref="I10:Q10">SUM(I11:I15)</f>
        <v>10972227</v>
      </c>
      <c r="J10" s="243">
        <f t="shared" si="2"/>
        <v>593742</v>
      </c>
      <c r="K10" s="243">
        <f t="shared" si="2"/>
        <v>130147</v>
      </c>
      <c r="L10" s="243">
        <f t="shared" si="2"/>
        <v>463595</v>
      </c>
      <c r="M10" s="243">
        <f t="shared" si="2"/>
        <v>0</v>
      </c>
      <c r="N10" s="243">
        <f t="shared" si="2"/>
        <v>10378485</v>
      </c>
      <c r="O10" s="243">
        <f t="shared" si="2"/>
        <v>306242</v>
      </c>
      <c r="P10" s="243">
        <f t="shared" si="2"/>
        <v>149558</v>
      </c>
      <c r="Q10" s="243">
        <f t="shared" si="2"/>
        <v>4361044</v>
      </c>
      <c r="R10" s="252">
        <f>SUM(R11:R15)</f>
        <v>5561641</v>
      </c>
      <c r="S10" s="251"/>
    </row>
    <row r="11" spans="1:19" s="233" customFormat="1" ht="18" customHeight="1">
      <c r="A11" s="802">
        <v>1</v>
      </c>
      <c r="B11" s="440" t="s">
        <v>102</v>
      </c>
      <c r="C11" s="239">
        <f t="shared" si="0"/>
        <v>5922892</v>
      </c>
      <c r="D11" s="240">
        <f>E11+H11</f>
        <v>3715315</v>
      </c>
      <c r="E11" s="240">
        <f>F11+G11</f>
        <v>3715315</v>
      </c>
      <c r="F11" s="254">
        <v>3703535</v>
      </c>
      <c r="G11" s="254">
        <v>11780</v>
      </c>
      <c r="H11" s="265">
        <v>0</v>
      </c>
      <c r="I11" s="239">
        <f>J11+N11</f>
        <v>2207577</v>
      </c>
      <c r="J11" s="240">
        <f>SUM(K11:M11)</f>
        <v>159041</v>
      </c>
      <c r="K11" s="254">
        <v>16506</v>
      </c>
      <c r="L11" s="254">
        <v>142535</v>
      </c>
      <c r="M11" s="254">
        <v>0</v>
      </c>
      <c r="N11" s="240">
        <f>SUM(O11:R11)</f>
        <v>2048536</v>
      </c>
      <c r="O11" s="254">
        <v>39658</v>
      </c>
      <c r="P11" s="254">
        <v>63919</v>
      </c>
      <c r="Q11" s="254">
        <v>188087</v>
      </c>
      <c r="R11" s="534">
        <v>1756872</v>
      </c>
      <c r="S11" s="222">
        <v>1</v>
      </c>
    </row>
    <row r="12" spans="1:19" s="233" customFormat="1" ht="18" customHeight="1">
      <c r="A12" s="802">
        <v>2</v>
      </c>
      <c r="B12" s="440" t="s">
        <v>103</v>
      </c>
      <c r="C12" s="239">
        <f t="shared" si="0"/>
        <v>6096822</v>
      </c>
      <c r="D12" s="240">
        <f>E12+H12</f>
        <v>1414735</v>
      </c>
      <c r="E12" s="240">
        <f>F12+G12</f>
        <v>1414735</v>
      </c>
      <c r="F12" s="254">
        <v>1408583</v>
      </c>
      <c r="G12" s="254">
        <v>6152</v>
      </c>
      <c r="H12" s="265">
        <v>0</v>
      </c>
      <c r="I12" s="239">
        <f>J12+N12</f>
        <v>4682087</v>
      </c>
      <c r="J12" s="240">
        <f>SUM(K12:M12)</f>
        <v>115803</v>
      </c>
      <c r="K12" s="254">
        <v>25027</v>
      </c>
      <c r="L12" s="254">
        <v>90776</v>
      </c>
      <c r="M12" s="254">
        <v>0</v>
      </c>
      <c r="N12" s="240">
        <f>SUM(O12:R12)</f>
        <v>4566284</v>
      </c>
      <c r="O12" s="254">
        <v>240188</v>
      </c>
      <c r="P12" s="254">
        <v>18228</v>
      </c>
      <c r="Q12" s="254">
        <v>3624013</v>
      </c>
      <c r="R12" s="534">
        <v>683855</v>
      </c>
      <c r="S12" s="222">
        <v>2</v>
      </c>
    </row>
    <row r="13" spans="1:19" s="233" customFormat="1" ht="18" customHeight="1">
      <c r="A13" s="802">
        <v>3</v>
      </c>
      <c r="B13" s="440" t="s">
        <v>104</v>
      </c>
      <c r="C13" s="239">
        <f t="shared" si="0"/>
        <v>1507056</v>
      </c>
      <c r="D13" s="240">
        <f>E13+H13</f>
        <v>656319</v>
      </c>
      <c r="E13" s="240">
        <f>F13+G13</f>
        <v>656319</v>
      </c>
      <c r="F13" s="254">
        <v>656319</v>
      </c>
      <c r="G13" s="254">
        <v>0</v>
      </c>
      <c r="H13" s="265">
        <v>0</v>
      </c>
      <c r="I13" s="239">
        <f>J13+N13</f>
        <v>850737</v>
      </c>
      <c r="J13" s="240">
        <f>SUM(K13:M13)</f>
        <v>96151</v>
      </c>
      <c r="K13" s="254">
        <v>61318</v>
      </c>
      <c r="L13" s="254">
        <v>34833</v>
      </c>
      <c r="M13" s="254">
        <v>0</v>
      </c>
      <c r="N13" s="240">
        <f>SUM(O13:R13)</f>
        <v>754586</v>
      </c>
      <c r="O13" s="254">
        <v>0</v>
      </c>
      <c r="P13" s="254">
        <v>38957</v>
      </c>
      <c r="Q13" s="254">
        <v>135817</v>
      </c>
      <c r="R13" s="534">
        <v>579812</v>
      </c>
      <c r="S13" s="222">
        <v>3</v>
      </c>
    </row>
    <row r="14" spans="1:19" s="233" customFormat="1" ht="18" customHeight="1">
      <c r="A14" s="802">
        <v>4</v>
      </c>
      <c r="B14" s="440" t="s">
        <v>105</v>
      </c>
      <c r="C14" s="239">
        <f t="shared" si="0"/>
        <v>563692</v>
      </c>
      <c r="D14" s="240">
        <f>E14+H14</f>
        <v>176250</v>
      </c>
      <c r="E14" s="240">
        <f>F14+G14</f>
        <v>176250</v>
      </c>
      <c r="F14" s="254">
        <v>176250</v>
      </c>
      <c r="G14" s="254">
        <v>0</v>
      </c>
      <c r="H14" s="265">
        <v>0</v>
      </c>
      <c r="I14" s="239">
        <f>J14+N14</f>
        <v>387442</v>
      </c>
      <c r="J14" s="240">
        <f>SUM(K14:M14)</f>
        <v>126513</v>
      </c>
      <c r="K14" s="254">
        <v>11410</v>
      </c>
      <c r="L14" s="254">
        <v>115103</v>
      </c>
      <c r="M14" s="254">
        <v>0</v>
      </c>
      <c r="N14" s="240">
        <f>SUM(O14:R14)</f>
        <v>260929</v>
      </c>
      <c r="O14" s="254">
        <v>0</v>
      </c>
      <c r="P14" s="254">
        <v>0</v>
      </c>
      <c r="Q14" s="254">
        <v>14495</v>
      </c>
      <c r="R14" s="534">
        <v>246434</v>
      </c>
      <c r="S14" s="222">
        <v>4</v>
      </c>
    </row>
    <row r="15" spans="1:19" s="233" customFormat="1" ht="18" customHeight="1" thickBot="1">
      <c r="A15" s="802">
        <v>5</v>
      </c>
      <c r="B15" s="440" t="s">
        <v>180</v>
      </c>
      <c r="C15" s="255">
        <f t="shared" si="0"/>
        <v>8619799</v>
      </c>
      <c r="D15" s="240">
        <f>E15+H15</f>
        <v>5775415</v>
      </c>
      <c r="E15" s="240">
        <f>F15+G15</f>
        <v>5775415</v>
      </c>
      <c r="F15" s="254">
        <v>5763450</v>
      </c>
      <c r="G15" s="254">
        <v>11965</v>
      </c>
      <c r="H15" s="265"/>
      <c r="I15" s="239">
        <f>J15+N15</f>
        <v>2844384</v>
      </c>
      <c r="J15" s="240">
        <f>SUM(K15:M15)</f>
        <v>96234</v>
      </c>
      <c r="K15" s="254">
        <v>15886</v>
      </c>
      <c r="L15" s="254">
        <v>80348</v>
      </c>
      <c r="M15" s="254">
        <v>0</v>
      </c>
      <c r="N15" s="240">
        <f>SUM(O15:R15)</f>
        <v>2748150</v>
      </c>
      <c r="O15" s="254">
        <v>26396</v>
      </c>
      <c r="P15" s="254">
        <v>28454</v>
      </c>
      <c r="Q15" s="254">
        <v>398632</v>
      </c>
      <c r="R15" s="534">
        <v>2294668</v>
      </c>
      <c r="S15" s="494">
        <v>5</v>
      </c>
    </row>
    <row r="16" spans="1:19" s="233" customFormat="1" ht="26.25" customHeight="1">
      <c r="A16" s="925" t="s">
        <v>85</v>
      </c>
      <c r="B16" s="926"/>
      <c r="C16" s="256">
        <f aca="true" t="shared" si="3" ref="C16:C34">D16+I16</f>
        <v>17054273</v>
      </c>
      <c r="D16" s="249">
        <f>D17</f>
        <v>7639291</v>
      </c>
      <c r="E16" s="249">
        <f>E17</f>
        <v>7639291</v>
      </c>
      <c r="F16" s="249">
        <f>F17</f>
        <v>7639291</v>
      </c>
      <c r="G16" s="249">
        <f>G17</f>
        <v>0</v>
      </c>
      <c r="H16" s="263">
        <v>0</v>
      </c>
      <c r="I16" s="247">
        <f aca="true" t="shared" si="4" ref="I16:R16">I17</f>
        <v>9414982</v>
      </c>
      <c r="J16" s="248">
        <f t="shared" si="4"/>
        <v>1230668</v>
      </c>
      <c r="K16" s="249">
        <f t="shared" si="4"/>
        <v>168416</v>
      </c>
      <c r="L16" s="249">
        <f t="shared" si="4"/>
        <v>1047265</v>
      </c>
      <c r="M16" s="249">
        <f t="shared" si="4"/>
        <v>14987</v>
      </c>
      <c r="N16" s="246">
        <f t="shared" si="4"/>
        <v>8184314</v>
      </c>
      <c r="O16" s="249">
        <f t="shared" si="4"/>
        <v>260388</v>
      </c>
      <c r="P16" s="249">
        <f t="shared" si="4"/>
        <v>168728</v>
      </c>
      <c r="Q16" s="249">
        <f t="shared" si="4"/>
        <v>826156</v>
      </c>
      <c r="R16" s="250">
        <f t="shared" si="4"/>
        <v>6929042</v>
      </c>
      <c r="S16" s="251"/>
    </row>
    <row r="17" spans="1:19" s="233" customFormat="1" ht="18" customHeight="1">
      <c r="A17" s="927" t="s">
        <v>185</v>
      </c>
      <c r="B17" s="928"/>
      <c r="C17" s="242">
        <f t="shared" si="3"/>
        <v>17054273</v>
      </c>
      <c r="D17" s="243">
        <f>SUM(D18:D23)</f>
        <v>7639291</v>
      </c>
      <c r="E17" s="243">
        <f>SUM(E18:E23)</f>
        <v>7639291</v>
      </c>
      <c r="F17" s="243">
        <f>SUM(F18:F23)</f>
        <v>7639291</v>
      </c>
      <c r="G17" s="243">
        <f>SUM(G18:G23)</f>
        <v>0</v>
      </c>
      <c r="H17" s="264">
        <v>0</v>
      </c>
      <c r="I17" s="242">
        <f>SUM(I18:I23)</f>
        <v>9414982</v>
      </c>
      <c r="J17" s="243">
        <f aca="true" t="shared" si="5" ref="J17:Q17">SUM(J18:J23)</f>
        <v>1230668</v>
      </c>
      <c r="K17" s="243">
        <f t="shared" si="5"/>
        <v>168416</v>
      </c>
      <c r="L17" s="243">
        <f t="shared" si="5"/>
        <v>1047265</v>
      </c>
      <c r="M17" s="243">
        <f t="shared" si="5"/>
        <v>14987</v>
      </c>
      <c r="N17" s="243">
        <f t="shared" si="5"/>
        <v>8184314</v>
      </c>
      <c r="O17" s="243">
        <f t="shared" si="5"/>
        <v>260388</v>
      </c>
      <c r="P17" s="243">
        <f t="shared" si="5"/>
        <v>168728</v>
      </c>
      <c r="Q17" s="243">
        <f t="shared" si="5"/>
        <v>826156</v>
      </c>
      <c r="R17" s="252">
        <f>SUM(R18:R23)</f>
        <v>6929042</v>
      </c>
      <c r="S17" s="251"/>
    </row>
    <row r="18" spans="1:19" s="233" customFormat="1" ht="18" customHeight="1">
      <c r="A18" s="802">
        <v>6</v>
      </c>
      <c r="B18" s="440" t="s">
        <v>106</v>
      </c>
      <c r="C18" s="239">
        <f t="shared" si="3"/>
        <v>6258573</v>
      </c>
      <c r="D18" s="240">
        <f aca="true" t="shared" si="6" ref="D18:D23">E18+H18</f>
        <v>4291963</v>
      </c>
      <c r="E18" s="240">
        <f aca="true" t="shared" si="7" ref="E18:E23">F18+G18</f>
        <v>4291963</v>
      </c>
      <c r="F18" s="254">
        <v>4291963</v>
      </c>
      <c r="G18" s="254">
        <v>0</v>
      </c>
      <c r="H18" s="265">
        <v>0</v>
      </c>
      <c r="I18" s="239">
        <f aca="true" t="shared" si="8" ref="I18:I23">J18+N18</f>
        <v>1966610</v>
      </c>
      <c r="J18" s="240">
        <f aca="true" t="shared" si="9" ref="J18:J23">SUM(K18:M18)</f>
        <v>222889</v>
      </c>
      <c r="K18" s="254">
        <v>12316</v>
      </c>
      <c r="L18" s="254">
        <v>203811</v>
      </c>
      <c r="M18" s="254">
        <v>6762</v>
      </c>
      <c r="N18" s="240">
        <f aca="true" t="shared" si="10" ref="N18:N23">SUM(O18:R18)</f>
        <v>1743721</v>
      </c>
      <c r="O18" s="254">
        <v>0</v>
      </c>
      <c r="P18" s="254">
        <v>68039</v>
      </c>
      <c r="Q18" s="254">
        <v>49425</v>
      </c>
      <c r="R18" s="257">
        <v>1626257</v>
      </c>
      <c r="S18" s="222">
        <v>6</v>
      </c>
    </row>
    <row r="19" spans="1:19" s="233" customFormat="1" ht="18" customHeight="1">
      <c r="A19" s="802">
        <v>7</v>
      </c>
      <c r="B19" s="440" t="s">
        <v>107</v>
      </c>
      <c r="C19" s="239">
        <f t="shared" si="3"/>
        <v>1738597</v>
      </c>
      <c r="D19" s="240">
        <f t="shared" si="6"/>
        <v>317767</v>
      </c>
      <c r="E19" s="240">
        <f t="shared" si="7"/>
        <v>317767</v>
      </c>
      <c r="F19" s="254">
        <v>317767</v>
      </c>
      <c r="G19" s="254">
        <v>0</v>
      </c>
      <c r="H19" s="265">
        <v>0</v>
      </c>
      <c r="I19" s="239">
        <f t="shared" si="8"/>
        <v>1420830</v>
      </c>
      <c r="J19" s="240">
        <f t="shared" si="9"/>
        <v>267166</v>
      </c>
      <c r="K19" s="254">
        <v>132283</v>
      </c>
      <c r="L19" s="254">
        <v>134134</v>
      </c>
      <c r="M19" s="254">
        <v>749</v>
      </c>
      <c r="N19" s="240">
        <f t="shared" si="10"/>
        <v>1153664</v>
      </c>
      <c r="O19" s="254">
        <v>96118</v>
      </c>
      <c r="P19" s="254">
        <v>33773</v>
      </c>
      <c r="Q19" s="254">
        <v>207253</v>
      </c>
      <c r="R19" s="257">
        <v>816520</v>
      </c>
      <c r="S19" s="222">
        <v>7</v>
      </c>
    </row>
    <row r="20" spans="1:19" s="233" customFormat="1" ht="18" customHeight="1">
      <c r="A20" s="802">
        <v>8</v>
      </c>
      <c r="B20" s="440" t="s">
        <v>108</v>
      </c>
      <c r="C20" s="239">
        <f t="shared" si="3"/>
        <v>3302801</v>
      </c>
      <c r="D20" s="240">
        <f t="shared" si="6"/>
        <v>1438832</v>
      </c>
      <c r="E20" s="240">
        <f t="shared" si="7"/>
        <v>1438832</v>
      </c>
      <c r="F20" s="254">
        <v>1438832</v>
      </c>
      <c r="G20" s="254">
        <v>0</v>
      </c>
      <c r="H20" s="265">
        <v>0</v>
      </c>
      <c r="I20" s="239">
        <f t="shared" si="8"/>
        <v>1863969</v>
      </c>
      <c r="J20" s="240">
        <f t="shared" si="9"/>
        <v>294914</v>
      </c>
      <c r="K20" s="254">
        <v>1284</v>
      </c>
      <c r="L20" s="254">
        <v>287919</v>
      </c>
      <c r="M20" s="254">
        <v>5711</v>
      </c>
      <c r="N20" s="240">
        <f t="shared" si="10"/>
        <v>1569055</v>
      </c>
      <c r="O20" s="254">
        <v>0</v>
      </c>
      <c r="P20" s="254">
        <v>19410</v>
      </c>
      <c r="Q20" s="254">
        <v>405860</v>
      </c>
      <c r="R20" s="257">
        <v>1143785</v>
      </c>
      <c r="S20" s="222">
        <v>8</v>
      </c>
    </row>
    <row r="21" spans="1:19" s="233" customFormat="1" ht="18" customHeight="1">
      <c r="A21" s="802">
        <v>9</v>
      </c>
      <c r="B21" s="440" t="s">
        <v>109</v>
      </c>
      <c r="C21" s="239">
        <f t="shared" si="3"/>
        <v>329559</v>
      </c>
      <c r="D21" s="240">
        <f t="shared" si="6"/>
        <v>268005</v>
      </c>
      <c r="E21" s="240">
        <f t="shared" si="7"/>
        <v>268005</v>
      </c>
      <c r="F21" s="254">
        <v>268005</v>
      </c>
      <c r="G21" s="254">
        <v>0</v>
      </c>
      <c r="H21" s="265">
        <v>0</v>
      </c>
      <c r="I21" s="239">
        <f t="shared" si="8"/>
        <v>61554</v>
      </c>
      <c r="J21" s="240">
        <f t="shared" si="9"/>
        <v>3800</v>
      </c>
      <c r="K21" s="254">
        <v>0</v>
      </c>
      <c r="L21" s="254">
        <v>3800</v>
      </c>
      <c r="M21" s="254">
        <v>0</v>
      </c>
      <c r="N21" s="240">
        <f t="shared" si="10"/>
        <v>57754</v>
      </c>
      <c r="O21" s="254">
        <v>0</v>
      </c>
      <c r="P21" s="254">
        <v>0</v>
      </c>
      <c r="Q21" s="254">
        <v>16041</v>
      </c>
      <c r="R21" s="257">
        <v>41713</v>
      </c>
      <c r="S21" s="222">
        <v>9</v>
      </c>
    </row>
    <row r="22" spans="1:19" s="233" customFormat="1" ht="18" customHeight="1">
      <c r="A22" s="802">
        <v>10</v>
      </c>
      <c r="B22" s="440" t="s">
        <v>110</v>
      </c>
      <c r="C22" s="239">
        <f t="shared" si="3"/>
        <v>982187</v>
      </c>
      <c r="D22" s="240">
        <f t="shared" si="6"/>
        <v>22201</v>
      </c>
      <c r="E22" s="240">
        <f t="shared" si="7"/>
        <v>22201</v>
      </c>
      <c r="F22" s="254">
        <v>22201</v>
      </c>
      <c r="G22" s="254">
        <v>0</v>
      </c>
      <c r="H22" s="265">
        <v>0</v>
      </c>
      <c r="I22" s="239">
        <f t="shared" si="8"/>
        <v>959986</v>
      </c>
      <c r="J22" s="240">
        <f t="shared" si="9"/>
        <v>151215</v>
      </c>
      <c r="K22" s="254">
        <v>0</v>
      </c>
      <c r="L22" s="254">
        <v>151215</v>
      </c>
      <c r="M22" s="254">
        <v>0</v>
      </c>
      <c r="N22" s="240">
        <f t="shared" si="10"/>
        <v>808771</v>
      </c>
      <c r="O22" s="254">
        <v>130292</v>
      </c>
      <c r="P22" s="254">
        <v>12341</v>
      </c>
      <c r="Q22" s="254">
        <v>22088</v>
      </c>
      <c r="R22" s="257">
        <v>644050</v>
      </c>
      <c r="S22" s="222">
        <v>11</v>
      </c>
    </row>
    <row r="23" spans="1:19" s="233" customFormat="1" ht="18" customHeight="1" thickBot="1">
      <c r="A23" s="803">
        <v>11</v>
      </c>
      <c r="B23" s="477" t="s">
        <v>181</v>
      </c>
      <c r="C23" s="239">
        <f>D23+I23</f>
        <v>4442556</v>
      </c>
      <c r="D23" s="240">
        <f t="shared" si="6"/>
        <v>1300523</v>
      </c>
      <c r="E23" s="240">
        <f t="shared" si="7"/>
        <v>1300523</v>
      </c>
      <c r="F23" s="254">
        <v>1300523</v>
      </c>
      <c r="G23" s="254">
        <v>0</v>
      </c>
      <c r="H23" s="265">
        <v>0</v>
      </c>
      <c r="I23" s="239">
        <f t="shared" si="8"/>
        <v>3142033</v>
      </c>
      <c r="J23" s="240">
        <f t="shared" si="9"/>
        <v>290684</v>
      </c>
      <c r="K23" s="254">
        <v>22533</v>
      </c>
      <c r="L23" s="254">
        <v>266386</v>
      </c>
      <c r="M23" s="254">
        <v>1765</v>
      </c>
      <c r="N23" s="240">
        <f t="shared" si="10"/>
        <v>2851349</v>
      </c>
      <c r="O23" s="254">
        <v>33978</v>
      </c>
      <c r="P23" s="254">
        <v>35165</v>
      </c>
      <c r="Q23" s="254">
        <v>125489</v>
      </c>
      <c r="R23" s="257">
        <v>2656717</v>
      </c>
      <c r="S23" s="493">
        <v>12</v>
      </c>
    </row>
    <row r="24" spans="1:19" s="233" customFormat="1" ht="26.25" customHeight="1">
      <c r="A24" s="949" t="s">
        <v>135</v>
      </c>
      <c r="B24" s="950"/>
      <c r="C24" s="246">
        <f>D24+I24</f>
        <v>15493058</v>
      </c>
      <c r="D24" s="247">
        <f>D25+D32</f>
        <v>1440075</v>
      </c>
      <c r="E24" s="247">
        <f>E25+E32</f>
        <v>1440075</v>
      </c>
      <c r="F24" s="247">
        <f>F25+F32</f>
        <v>1440075</v>
      </c>
      <c r="G24" s="247">
        <f>G25+G32</f>
        <v>0</v>
      </c>
      <c r="H24" s="263">
        <v>0</v>
      </c>
      <c r="I24" s="247">
        <f aca="true" t="shared" si="11" ref="I24:R24">I25+I32</f>
        <v>14052983</v>
      </c>
      <c r="J24" s="248">
        <f t="shared" si="11"/>
        <v>1725997</v>
      </c>
      <c r="K24" s="249">
        <f t="shared" si="11"/>
        <v>582627</v>
      </c>
      <c r="L24" s="249">
        <f t="shared" si="11"/>
        <v>1143370</v>
      </c>
      <c r="M24" s="249">
        <f t="shared" si="11"/>
        <v>0</v>
      </c>
      <c r="N24" s="246">
        <f t="shared" si="11"/>
        <v>12326986</v>
      </c>
      <c r="O24" s="249">
        <f t="shared" si="11"/>
        <v>199785</v>
      </c>
      <c r="P24" s="249">
        <f t="shared" si="11"/>
        <v>174387</v>
      </c>
      <c r="Q24" s="249">
        <f t="shared" si="11"/>
        <v>1145491</v>
      </c>
      <c r="R24" s="250">
        <f t="shared" si="11"/>
        <v>10807323</v>
      </c>
      <c r="S24" s="251"/>
    </row>
    <row r="25" spans="1:19" s="233" customFormat="1" ht="18" customHeight="1">
      <c r="A25" s="927" t="s">
        <v>369</v>
      </c>
      <c r="B25" s="928"/>
      <c r="C25" s="242">
        <f>D25+I25</f>
        <v>5829117</v>
      </c>
      <c r="D25" s="243">
        <f>SUM(D26:D31)</f>
        <v>483410</v>
      </c>
      <c r="E25" s="243">
        <f>SUM(E26:E31)</f>
        <v>483410</v>
      </c>
      <c r="F25" s="243">
        <f>SUM(F26:F31)</f>
        <v>483410</v>
      </c>
      <c r="G25" s="243">
        <f>SUM(G26:G31)</f>
        <v>0</v>
      </c>
      <c r="H25" s="264">
        <v>0</v>
      </c>
      <c r="I25" s="242">
        <f aca="true" t="shared" si="12" ref="I25:R25">SUM(I26:I31)</f>
        <v>5345707</v>
      </c>
      <c r="J25" s="243">
        <f t="shared" si="12"/>
        <v>1107498</v>
      </c>
      <c r="K25" s="243">
        <f t="shared" si="12"/>
        <v>527494</v>
      </c>
      <c r="L25" s="243">
        <f t="shared" si="12"/>
        <v>580004</v>
      </c>
      <c r="M25" s="243">
        <f t="shared" si="12"/>
        <v>0</v>
      </c>
      <c r="N25" s="243">
        <f t="shared" si="12"/>
        <v>4238209</v>
      </c>
      <c r="O25" s="243">
        <f t="shared" si="12"/>
        <v>12614</v>
      </c>
      <c r="P25" s="243">
        <f t="shared" si="12"/>
        <v>2922</v>
      </c>
      <c r="Q25" s="243">
        <f t="shared" si="12"/>
        <v>545538</v>
      </c>
      <c r="R25" s="244">
        <f t="shared" si="12"/>
        <v>3677135</v>
      </c>
      <c r="S25" s="251" t="s">
        <v>91</v>
      </c>
    </row>
    <row r="26" spans="1:19" s="233" customFormat="1" ht="18" customHeight="1">
      <c r="A26" s="802">
        <v>12</v>
      </c>
      <c r="B26" s="440" t="s">
        <v>111</v>
      </c>
      <c r="C26" s="239">
        <f t="shared" si="3"/>
        <v>1766397</v>
      </c>
      <c r="D26" s="240">
        <f aca="true" t="shared" si="13" ref="D26:D31">E26+H26</f>
        <v>109520</v>
      </c>
      <c r="E26" s="240">
        <f aca="true" t="shared" si="14" ref="E26:E31">F26+G26</f>
        <v>109520</v>
      </c>
      <c r="F26" s="254">
        <v>109520</v>
      </c>
      <c r="G26" s="254">
        <v>0</v>
      </c>
      <c r="H26" s="265">
        <v>0</v>
      </c>
      <c r="I26" s="239">
        <f aca="true" t="shared" si="15" ref="I26:I31">+J26+N26</f>
        <v>1656877</v>
      </c>
      <c r="J26" s="240">
        <f aca="true" t="shared" si="16" ref="J26:J31">SUM(K26:M26)</f>
        <v>485672</v>
      </c>
      <c r="K26" s="556">
        <v>366362</v>
      </c>
      <c r="L26" s="556">
        <v>119310</v>
      </c>
      <c r="M26" s="556">
        <v>0</v>
      </c>
      <c r="N26" s="240">
        <f aca="true" t="shared" si="17" ref="N26:N31">SUM(O26:R26)</f>
        <v>1171205</v>
      </c>
      <c r="O26" s="556">
        <v>12614</v>
      </c>
      <c r="P26" s="556">
        <v>1722</v>
      </c>
      <c r="Q26" s="556">
        <v>231195</v>
      </c>
      <c r="R26" s="557">
        <v>925674</v>
      </c>
      <c r="S26" s="222">
        <v>13</v>
      </c>
    </row>
    <row r="27" spans="1:19" s="233" customFormat="1" ht="18" customHeight="1">
      <c r="A27" s="802">
        <v>13</v>
      </c>
      <c r="B27" s="440" t="s">
        <v>116</v>
      </c>
      <c r="C27" s="239">
        <f>D27+I27</f>
        <v>7078</v>
      </c>
      <c r="D27" s="240">
        <f t="shared" si="13"/>
        <v>0</v>
      </c>
      <c r="E27" s="240">
        <f t="shared" si="14"/>
        <v>0</v>
      </c>
      <c r="F27" s="254">
        <v>0</v>
      </c>
      <c r="G27" s="254">
        <v>0</v>
      </c>
      <c r="H27" s="265">
        <v>0</v>
      </c>
      <c r="I27" s="239">
        <f t="shared" si="15"/>
        <v>7078</v>
      </c>
      <c r="J27" s="240">
        <f t="shared" si="16"/>
        <v>4040</v>
      </c>
      <c r="K27" s="556"/>
      <c r="L27" s="556">
        <v>4040</v>
      </c>
      <c r="M27" s="556">
        <v>0</v>
      </c>
      <c r="N27" s="240">
        <f t="shared" si="17"/>
        <v>3038</v>
      </c>
      <c r="O27" s="556">
        <v>0</v>
      </c>
      <c r="P27" s="556">
        <v>0</v>
      </c>
      <c r="Q27" s="556">
        <v>338</v>
      </c>
      <c r="R27" s="557">
        <v>2700</v>
      </c>
      <c r="S27" s="222">
        <v>14</v>
      </c>
    </row>
    <row r="28" spans="1:19" s="233" customFormat="1" ht="18" customHeight="1">
      <c r="A28" s="802">
        <v>14</v>
      </c>
      <c r="B28" s="440" t="s">
        <v>119</v>
      </c>
      <c r="C28" s="239">
        <f>D28+I28</f>
        <v>3467</v>
      </c>
      <c r="D28" s="240">
        <f t="shared" si="13"/>
        <v>0</v>
      </c>
      <c r="E28" s="240">
        <f t="shared" si="14"/>
        <v>0</v>
      </c>
      <c r="F28" s="254">
        <v>0</v>
      </c>
      <c r="G28" s="254">
        <v>0</v>
      </c>
      <c r="H28" s="265">
        <v>0</v>
      </c>
      <c r="I28" s="239">
        <f t="shared" si="15"/>
        <v>3467</v>
      </c>
      <c r="J28" s="240">
        <f t="shared" si="16"/>
        <v>13</v>
      </c>
      <c r="K28" s="556">
        <v>13</v>
      </c>
      <c r="L28" s="556">
        <v>0</v>
      </c>
      <c r="M28" s="556">
        <v>0</v>
      </c>
      <c r="N28" s="240">
        <f t="shared" si="17"/>
        <v>3454</v>
      </c>
      <c r="O28" s="556">
        <v>0</v>
      </c>
      <c r="P28" s="556">
        <v>0</v>
      </c>
      <c r="Q28" s="556">
        <v>21</v>
      </c>
      <c r="R28" s="557">
        <v>3433</v>
      </c>
      <c r="S28" s="222">
        <v>16</v>
      </c>
    </row>
    <row r="29" spans="1:19" s="233" customFormat="1" ht="18" customHeight="1">
      <c r="A29" s="802">
        <v>15</v>
      </c>
      <c r="B29" s="440" t="s">
        <v>112</v>
      </c>
      <c r="C29" s="239">
        <f t="shared" si="3"/>
        <v>3583621</v>
      </c>
      <c r="D29" s="240">
        <f t="shared" si="13"/>
        <v>373890</v>
      </c>
      <c r="E29" s="240">
        <f t="shared" si="14"/>
        <v>373890</v>
      </c>
      <c r="F29" s="254">
        <v>373890</v>
      </c>
      <c r="G29" s="254">
        <v>0</v>
      </c>
      <c r="H29" s="265">
        <v>0</v>
      </c>
      <c r="I29" s="239">
        <f t="shared" si="15"/>
        <v>3209731</v>
      </c>
      <c r="J29" s="240">
        <f t="shared" si="16"/>
        <v>505677</v>
      </c>
      <c r="K29" s="556">
        <v>160935</v>
      </c>
      <c r="L29" s="556">
        <v>344742</v>
      </c>
      <c r="M29" s="556">
        <v>0</v>
      </c>
      <c r="N29" s="240">
        <f t="shared" si="17"/>
        <v>2704054</v>
      </c>
      <c r="O29" s="556">
        <v>0</v>
      </c>
      <c r="P29" s="556">
        <v>1200</v>
      </c>
      <c r="Q29" s="556">
        <v>302142</v>
      </c>
      <c r="R29" s="557">
        <v>2400712</v>
      </c>
      <c r="S29" s="222">
        <v>17</v>
      </c>
    </row>
    <row r="30" spans="1:19" s="233" customFormat="1" ht="18" customHeight="1">
      <c r="A30" s="802">
        <v>16</v>
      </c>
      <c r="B30" s="440" t="s">
        <v>113</v>
      </c>
      <c r="C30" s="239">
        <f>D30+I30</f>
        <v>334672</v>
      </c>
      <c r="D30" s="240">
        <f t="shared" si="13"/>
        <v>0</v>
      </c>
      <c r="E30" s="240">
        <f t="shared" si="14"/>
        <v>0</v>
      </c>
      <c r="F30" s="254">
        <v>0</v>
      </c>
      <c r="G30" s="254">
        <v>0</v>
      </c>
      <c r="H30" s="265">
        <v>0</v>
      </c>
      <c r="I30" s="239">
        <f t="shared" si="15"/>
        <v>334672</v>
      </c>
      <c r="J30" s="240">
        <f t="shared" si="16"/>
        <v>91424</v>
      </c>
      <c r="K30" s="556">
        <v>154</v>
      </c>
      <c r="L30" s="556">
        <v>91270</v>
      </c>
      <c r="M30" s="556">
        <v>0</v>
      </c>
      <c r="N30" s="240">
        <f t="shared" si="17"/>
        <v>243248</v>
      </c>
      <c r="O30" s="556">
        <v>0</v>
      </c>
      <c r="P30" s="556">
        <v>0</v>
      </c>
      <c r="Q30" s="556">
        <v>7498</v>
      </c>
      <c r="R30" s="557">
        <v>235750</v>
      </c>
      <c r="S30" s="222">
        <v>18</v>
      </c>
    </row>
    <row r="31" spans="1:19" s="233" customFormat="1" ht="18" customHeight="1">
      <c r="A31" s="802">
        <v>17</v>
      </c>
      <c r="B31" s="440" t="s">
        <v>114</v>
      </c>
      <c r="C31" s="239">
        <f>D31+I31</f>
        <v>133882</v>
      </c>
      <c r="D31" s="240">
        <f t="shared" si="13"/>
        <v>0</v>
      </c>
      <c r="E31" s="240">
        <f t="shared" si="14"/>
        <v>0</v>
      </c>
      <c r="F31" s="254">
        <v>0</v>
      </c>
      <c r="G31" s="254">
        <v>0</v>
      </c>
      <c r="H31" s="265">
        <v>0</v>
      </c>
      <c r="I31" s="239">
        <f t="shared" si="15"/>
        <v>133882</v>
      </c>
      <c r="J31" s="240">
        <f t="shared" si="16"/>
        <v>20672</v>
      </c>
      <c r="K31" s="556">
        <v>30</v>
      </c>
      <c r="L31" s="556">
        <v>20642</v>
      </c>
      <c r="M31" s="556">
        <v>0</v>
      </c>
      <c r="N31" s="240">
        <f t="shared" si="17"/>
        <v>113210</v>
      </c>
      <c r="O31" s="556">
        <v>0</v>
      </c>
      <c r="P31" s="556">
        <v>0</v>
      </c>
      <c r="Q31" s="556">
        <v>4344</v>
      </c>
      <c r="R31" s="557">
        <v>108866</v>
      </c>
      <c r="S31" s="222">
        <v>19</v>
      </c>
    </row>
    <row r="32" spans="1:19" s="253" customFormat="1" ht="18" customHeight="1">
      <c r="A32" s="927" t="s">
        <v>370</v>
      </c>
      <c r="B32" s="951"/>
      <c r="C32" s="242">
        <f>D32+I32</f>
        <v>9663941</v>
      </c>
      <c r="D32" s="243">
        <f aca="true" t="shared" si="18" ref="D32:L32">SUM(D33:D41)</f>
        <v>956665</v>
      </c>
      <c r="E32" s="243">
        <f t="shared" si="18"/>
        <v>956665</v>
      </c>
      <c r="F32" s="243">
        <f t="shared" si="18"/>
        <v>956665</v>
      </c>
      <c r="G32" s="243">
        <f t="shared" si="18"/>
        <v>0</v>
      </c>
      <c r="H32" s="264">
        <f t="shared" si="18"/>
        <v>0</v>
      </c>
      <c r="I32" s="242">
        <f t="shared" si="18"/>
        <v>8707276</v>
      </c>
      <c r="J32" s="243">
        <f t="shared" si="18"/>
        <v>618499</v>
      </c>
      <c r="K32" s="243">
        <f t="shared" si="18"/>
        <v>55133</v>
      </c>
      <c r="L32" s="243">
        <f t="shared" si="18"/>
        <v>563366</v>
      </c>
      <c r="M32" s="243">
        <f aca="true" t="shared" si="19" ref="M32:R32">SUM(M33:M41)</f>
        <v>0</v>
      </c>
      <c r="N32" s="243">
        <f t="shared" si="19"/>
        <v>8088777</v>
      </c>
      <c r="O32" s="243">
        <f t="shared" si="19"/>
        <v>187171</v>
      </c>
      <c r="P32" s="243">
        <f t="shared" si="19"/>
        <v>171465</v>
      </c>
      <c r="Q32" s="243">
        <f t="shared" si="19"/>
        <v>599953</v>
      </c>
      <c r="R32" s="244">
        <f t="shared" si="19"/>
        <v>7130188</v>
      </c>
      <c r="S32" s="445"/>
    </row>
    <row r="33" spans="1:19" s="233" customFormat="1" ht="18" customHeight="1">
      <c r="A33" s="802">
        <v>18</v>
      </c>
      <c r="B33" s="440" t="s">
        <v>117</v>
      </c>
      <c r="C33" s="239">
        <f t="shared" si="3"/>
        <v>217025</v>
      </c>
      <c r="D33" s="240">
        <f aca="true" t="shared" si="20" ref="D33:D39">E33+H33</f>
        <v>0</v>
      </c>
      <c r="E33" s="240">
        <f aca="true" t="shared" si="21" ref="E33:E39">F33+G33</f>
        <v>0</v>
      </c>
      <c r="F33" s="254">
        <v>0</v>
      </c>
      <c r="G33" s="254">
        <v>0</v>
      </c>
      <c r="H33" s="265">
        <v>0</v>
      </c>
      <c r="I33" s="239">
        <f aca="true" t="shared" si="22" ref="I33:I39">+J33+N33</f>
        <v>217025</v>
      </c>
      <c r="J33" s="240">
        <f aca="true" t="shared" si="23" ref="J33:J39">SUM(K33:M33)</f>
        <v>48769</v>
      </c>
      <c r="K33" s="556">
        <v>10978</v>
      </c>
      <c r="L33" s="556">
        <v>37791</v>
      </c>
      <c r="M33" s="556">
        <v>0</v>
      </c>
      <c r="N33" s="240">
        <f aca="true" t="shared" si="24" ref="N33:N39">SUM(O33:R33)</f>
        <v>168256</v>
      </c>
      <c r="O33" s="556">
        <v>0</v>
      </c>
      <c r="P33" s="556">
        <v>0</v>
      </c>
      <c r="Q33" s="556">
        <v>20968</v>
      </c>
      <c r="R33" s="557">
        <v>147288</v>
      </c>
      <c r="S33" s="222">
        <v>20</v>
      </c>
    </row>
    <row r="34" spans="1:19" s="233" customFormat="1" ht="18" customHeight="1">
      <c r="A34" s="802">
        <v>19</v>
      </c>
      <c r="B34" s="440" t="s">
        <v>118</v>
      </c>
      <c r="C34" s="239">
        <f t="shared" si="3"/>
        <v>15236</v>
      </c>
      <c r="D34" s="240">
        <f t="shared" si="20"/>
        <v>0</v>
      </c>
      <c r="E34" s="240">
        <f t="shared" si="21"/>
        <v>0</v>
      </c>
      <c r="F34" s="254">
        <v>0</v>
      </c>
      <c r="G34" s="254">
        <v>0</v>
      </c>
      <c r="H34" s="265">
        <v>0</v>
      </c>
      <c r="I34" s="239">
        <f t="shared" si="22"/>
        <v>15236</v>
      </c>
      <c r="J34" s="240">
        <f t="shared" si="23"/>
        <v>6288</v>
      </c>
      <c r="K34" s="556">
        <v>0</v>
      </c>
      <c r="L34" s="556">
        <v>6288</v>
      </c>
      <c r="M34" s="556">
        <v>0</v>
      </c>
      <c r="N34" s="240">
        <f t="shared" si="24"/>
        <v>8948</v>
      </c>
      <c r="O34" s="556">
        <v>0</v>
      </c>
      <c r="P34" s="556">
        <v>0</v>
      </c>
      <c r="Q34" s="556">
        <v>301</v>
      </c>
      <c r="R34" s="557">
        <v>8647</v>
      </c>
      <c r="S34" s="222">
        <v>21</v>
      </c>
    </row>
    <row r="35" spans="1:19" s="233" customFormat="1" ht="18" customHeight="1">
      <c r="A35" s="802">
        <v>20</v>
      </c>
      <c r="B35" s="440" t="s">
        <v>120</v>
      </c>
      <c r="C35" s="239">
        <f aca="true" t="shared" si="25" ref="C35:C47">D35+I35</f>
        <v>508</v>
      </c>
      <c r="D35" s="240">
        <f t="shared" si="20"/>
        <v>0</v>
      </c>
      <c r="E35" s="240">
        <f t="shared" si="21"/>
        <v>0</v>
      </c>
      <c r="F35" s="254">
        <v>0</v>
      </c>
      <c r="G35" s="254">
        <v>0</v>
      </c>
      <c r="H35" s="265">
        <v>0</v>
      </c>
      <c r="I35" s="239">
        <f t="shared" si="22"/>
        <v>508</v>
      </c>
      <c r="J35" s="240">
        <f t="shared" si="23"/>
        <v>0</v>
      </c>
      <c r="K35" s="556">
        <v>0</v>
      </c>
      <c r="L35" s="556">
        <v>0</v>
      </c>
      <c r="M35" s="556">
        <v>0</v>
      </c>
      <c r="N35" s="240">
        <f t="shared" si="24"/>
        <v>508</v>
      </c>
      <c r="O35" s="556">
        <v>0</v>
      </c>
      <c r="P35" s="556">
        <v>0</v>
      </c>
      <c r="Q35" s="556">
        <v>17</v>
      </c>
      <c r="R35" s="557">
        <v>491</v>
      </c>
      <c r="S35" s="222">
        <v>22</v>
      </c>
    </row>
    <row r="36" spans="1:19" s="233" customFormat="1" ht="18" customHeight="1">
      <c r="A36" s="802">
        <v>21</v>
      </c>
      <c r="B36" s="440" t="s">
        <v>136</v>
      </c>
      <c r="C36" s="239">
        <f t="shared" si="25"/>
        <v>362</v>
      </c>
      <c r="D36" s="240">
        <f t="shared" si="20"/>
        <v>0</v>
      </c>
      <c r="E36" s="240">
        <f t="shared" si="21"/>
        <v>0</v>
      </c>
      <c r="F36" s="254">
        <v>0</v>
      </c>
      <c r="G36" s="254">
        <v>0</v>
      </c>
      <c r="H36" s="265">
        <v>0</v>
      </c>
      <c r="I36" s="239">
        <f t="shared" si="22"/>
        <v>362</v>
      </c>
      <c r="J36" s="240">
        <f t="shared" si="23"/>
        <v>0</v>
      </c>
      <c r="K36" s="556">
        <v>0</v>
      </c>
      <c r="L36" s="556">
        <v>0</v>
      </c>
      <c r="M36" s="556">
        <v>0</v>
      </c>
      <c r="N36" s="240">
        <f t="shared" si="24"/>
        <v>362</v>
      </c>
      <c r="O36" s="556">
        <v>0</v>
      </c>
      <c r="P36" s="556">
        <v>0</v>
      </c>
      <c r="Q36" s="556"/>
      <c r="R36" s="557">
        <v>362</v>
      </c>
      <c r="S36" s="222">
        <v>23</v>
      </c>
    </row>
    <row r="37" spans="1:19" s="233" customFormat="1" ht="18" customHeight="1">
      <c r="A37" s="802">
        <v>22</v>
      </c>
      <c r="B37" s="440" t="s">
        <v>121</v>
      </c>
      <c r="C37" s="239">
        <f t="shared" si="25"/>
        <v>10264</v>
      </c>
      <c r="D37" s="240">
        <f t="shared" si="20"/>
        <v>0</v>
      </c>
      <c r="E37" s="240">
        <f t="shared" si="21"/>
        <v>0</v>
      </c>
      <c r="F37" s="254">
        <v>0</v>
      </c>
      <c r="G37" s="254">
        <v>0</v>
      </c>
      <c r="H37" s="265">
        <v>0</v>
      </c>
      <c r="I37" s="239">
        <f t="shared" si="22"/>
        <v>10264</v>
      </c>
      <c r="J37" s="240">
        <f t="shared" si="23"/>
        <v>219</v>
      </c>
      <c r="K37" s="556">
        <v>4</v>
      </c>
      <c r="L37" s="556">
        <v>215</v>
      </c>
      <c r="M37" s="556">
        <v>0</v>
      </c>
      <c r="N37" s="240">
        <f t="shared" si="24"/>
        <v>10045</v>
      </c>
      <c r="O37" s="556">
        <v>0</v>
      </c>
      <c r="P37" s="556">
        <v>0</v>
      </c>
      <c r="Q37" s="556">
        <v>156</v>
      </c>
      <c r="R37" s="557">
        <v>9889</v>
      </c>
      <c r="S37" s="222">
        <v>24</v>
      </c>
    </row>
    <row r="38" spans="1:19" s="233" customFormat="1" ht="18" customHeight="1">
      <c r="A38" s="802">
        <v>23</v>
      </c>
      <c r="B38" s="440" t="s">
        <v>122</v>
      </c>
      <c r="C38" s="239">
        <f t="shared" si="25"/>
        <v>428</v>
      </c>
      <c r="D38" s="240">
        <f t="shared" si="20"/>
        <v>0</v>
      </c>
      <c r="E38" s="240">
        <f t="shared" si="21"/>
        <v>0</v>
      </c>
      <c r="F38" s="254">
        <v>0</v>
      </c>
      <c r="G38" s="254">
        <v>0</v>
      </c>
      <c r="H38" s="265">
        <v>0</v>
      </c>
      <c r="I38" s="239">
        <f t="shared" si="22"/>
        <v>428</v>
      </c>
      <c r="J38" s="240">
        <f t="shared" si="23"/>
        <v>0</v>
      </c>
      <c r="K38" s="556">
        <v>0</v>
      </c>
      <c r="L38" s="556">
        <v>0</v>
      </c>
      <c r="M38" s="556">
        <v>0</v>
      </c>
      <c r="N38" s="240">
        <f t="shared" si="24"/>
        <v>428</v>
      </c>
      <c r="O38" s="556">
        <v>0</v>
      </c>
      <c r="P38" s="556">
        <v>0</v>
      </c>
      <c r="Q38" s="556"/>
      <c r="R38" s="557">
        <v>428</v>
      </c>
      <c r="S38" s="222">
        <v>25</v>
      </c>
    </row>
    <row r="39" spans="1:19" s="253" customFormat="1" ht="18" customHeight="1">
      <c r="A39" s="802">
        <v>24</v>
      </c>
      <c r="B39" s="440" t="s">
        <v>123</v>
      </c>
      <c r="C39" s="239">
        <f t="shared" si="25"/>
        <v>14935</v>
      </c>
      <c r="D39" s="240">
        <f t="shared" si="20"/>
        <v>0</v>
      </c>
      <c r="E39" s="240">
        <f t="shared" si="21"/>
        <v>0</v>
      </c>
      <c r="F39" s="254">
        <v>0</v>
      </c>
      <c r="G39" s="254">
        <v>0</v>
      </c>
      <c r="H39" s="265">
        <v>0</v>
      </c>
      <c r="I39" s="239">
        <f t="shared" si="22"/>
        <v>14935</v>
      </c>
      <c r="J39" s="240">
        <f t="shared" si="23"/>
        <v>529</v>
      </c>
      <c r="K39" s="556">
        <v>0</v>
      </c>
      <c r="L39" s="556">
        <v>529</v>
      </c>
      <c r="M39" s="556">
        <v>0</v>
      </c>
      <c r="N39" s="240">
        <f t="shared" si="24"/>
        <v>14406</v>
      </c>
      <c r="O39" s="556">
        <v>0</v>
      </c>
      <c r="P39" s="556">
        <v>0</v>
      </c>
      <c r="Q39" s="556">
        <v>15</v>
      </c>
      <c r="R39" s="557">
        <v>14391</v>
      </c>
      <c r="S39" s="222">
        <v>26</v>
      </c>
    </row>
    <row r="40" spans="1:19" s="233" customFormat="1" ht="18" customHeight="1">
      <c r="A40" s="802">
        <v>25</v>
      </c>
      <c r="B40" s="440" t="s">
        <v>115</v>
      </c>
      <c r="C40" s="239">
        <f>D40+I40</f>
        <v>5189607</v>
      </c>
      <c r="D40" s="240">
        <f>E40+H40</f>
        <v>846568</v>
      </c>
      <c r="E40" s="240">
        <f>F40+G40</f>
        <v>846568</v>
      </c>
      <c r="F40" s="254">
        <v>846568</v>
      </c>
      <c r="G40" s="254">
        <v>0</v>
      </c>
      <c r="H40" s="265">
        <v>0</v>
      </c>
      <c r="I40" s="239">
        <f>+J40+N40</f>
        <v>4343039</v>
      </c>
      <c r="J40" s="240">
        <f>SUM(K40:M40)</f>
        <v>292494</v>
      </c>
      <c r="K40" s="556">
        <v>2936</v>
      </c>
      <c r="L40" s="556">
        <v>289558</v>
      </c>
      <c r="M40" s="556">
        <v>0</v>
      </c>
      <c r="N40" s="240">
        <f>SUM(O40:R40)</f>
        <v>4050545</v>
      </c>
      <c r="O40" s="556">
        <v>28483</v>
      </c>
      <c r="P40" s="556">
        <v>63830</v>
      </c>
      <c r="Q40" s="556">
        <v>399161</v>
      </c>
      <c r="R40" s="557">
        <v>3559071</v>
      </c>
      <c r="S40" s="222">
        <v>27</v>
      </c>
    </row>
    <row r="41" spans="1:19" s="233" customFormat="1" ht="18" customHeight="1" thickBot="1">
      <c r="A41" s="803">
        <v>26</v>
      </c>
      <c r="B41" s="477" t="s">
        <v>178</v>
      </c>
      <c r="C41" s="255">
        <f>D41+I41</f>
        <v>4215576</v>
      </c>
      <c r="D41" s="240">
        <f>E41+H41</f>
        <v>110097</v>
      </c>
      <c r="E41" s="240">
        <f>F41+G41</f>
        <v>110097</v>
      </c>
      <c r="F41" s="254">
        <v>110097</v>
      </c>
      <c r="G41" s="254">
        <v>0</v>
      </c>
      <c r="H41" s="265">
        <v>0</v>
      </c>
      <c r="I41" s="239">
        <f>+J41+N41</f>
        <v>4105479</v>
      </c>
      <c r="J41" s="240">
        <f>SUM(K41:M41)</f>
        <v>270200</v>
      </c>
      <c r="K41" s="556">
        <v>41215</v>
      </c>
      <c r="L41" s="556">
        <v>228985</v>
      </c>
      <c r="M41" s="556">
        <v>0</v>
      </c>
      <c r="N41" s="240">
        <f>SUM(O41:R41)</f>
        <v>3835279</v>
      </c>
      <c r="O41" s="556">
        <v>158688</v>
      </c>
      <c r="P41" s="556">
        <v>107635</v>
      </c>
      <c r="Q41" s="556">
        <v>179335</v>
      </c>
      <c r="R41" s="557">
        <v>3389621</v>
      </c>
      <c r="S41" s="493">
        <v>28</v>
      </c>
    </row>
    <row r="42" spans="1:19" s="233" customFormat="1" ht="26.25" customHeight="1">
      <c r="A42" s="953" t="s">
        <v>87</v>
      </c>
      <c r="B42" s="950"/>
      <c r="C42" s="256">
        <f t="shared" si="25"/>
        <v>31192971</v>
      </c>
      <c r="D42" s="249">
        <f>D43+D46+D50</f>
        <v>4253625</v>
      </c>
      <c r="E42" s="249">
        <f>E43+E46+E50</f>
        <v>4253625</v>
      </c>
      <c r="F42" s="249">
        <f>F43+F46+F50</f>
        <v>4237560</v>
      </c>
      <c r="G42" s="249">
        <f>G43+G46+G50</f>
        <v>16065</v>
      </c>
      <c r="H42" s="263">
        <v>0</v>
      </c>
      <c r="I42" s="247">
        <f>I43+I46+I50</f>
        <v>26939346</v>
      </c>
      <c r="J42" s="248">
        <f>SUM(K42:M42)</f>
        <v>1992757</v>
      </c>
      <c r="K42" s="248">
        <f>K43+K46+K50</f>
        <v>725591</v>
      </c>
      <c r="L42" s="248">
        <f>L43+L46+L50</f>
        <v>1233870</v>
      </c>
      <c r="M42" s="248">
        <f>M43+M46+M50</f>
        <v>33296</v>
      </c>
      <c r="N42" s="246">
        <f>SUM(O42:R42)</f>
        <v>24946589</v>
      </c>
      <c r="O42" s="249">
        <f>O43+O46+O50</f>
        <v>668589</v>
      </c>
      <c r="P42" s="249">
        <f>P43+P46+P50</f>
        <v>527910</v>
      </c>
      <c r="Q42" s="249">
        <f>Q43+Q46+Q50</f>
        <v>2869206</v>
      </c>
      <c r="R42" s="250">
        <f>R43+R46+R50</f>
        <v>20880884</v>
      </c>
      <c r="S42" s="251"/>
    </row>
    <row r="43" spans="1:19" s="233" customFormat="1" ht="18" customHeight="1">
      <c r="A43" s="927" t="s">
        <v>379</v>
      </c>
      <c r="B43" s="952"/>
      <c r="C43" s="242">
        <f>D43+I43</f>
        <v>10296282</v>
      </c>
      <c r="D43" s="243">
        <f>SUM(D44:D45)</f>
        <v>1764072</v>
      </c>
      <c r="E43" s="243">
        <f>SUM(E44:E45)</f>
        <v>1764072</v>
      </c>
      <c r="F43" s="243">
        <f>SUM(F44:F45)</f>
        <v>1764072</v>
      </c>
      <c r="G43" s="243">
        <f>SUM(G44:G45)</f>
        <v>0</v>
      </c>
      <c r="H43" s="264">
        <v>0</v>
      </c>
      <c r="I43" s="242">
        <f aca="true" t="shared" si="26" ref="I43:Q43">SUM(I44:I45)</f>
        <v>8532210</v>
      </c>
      <c r="J43" s="243">
        <f t="shared" si="26"/>
        <v>853521</v>
      </c>
      <c r="K43" s="243">
        <f t="shared" si="26"/>
        <v>275308</v>
      </c>
      <c r="L43" s="243">
        <f t="shared" si="26"/>
        <v>578213</v>
      </c>
      <c r="M43" s="243">
        <f t="shared" si="26"/>
        <v>0</v>
      </c>
      <c r="N43" s="243">
        <f t="shared" si="26"/>
        <v>7678689</v>
      </c>
      <c r="O43" s="243">
        <f t="shared" si="26"/>
        <v>162527</v>
      </c>
      <c r="P43" s="243">
        <f t="shared" si="26"/>
        <v>36144</v>
      </c>
      <c r="Q43" s="243">
        <f t="shared" si="26"/>
        <v>1095640</v>
      </c>
      <c r="R43" s="244">
        <f>SUM(R44:R45)</f>
        <v>6384378</v>
      </c>
      <c r="S43" s="251"/>
    </row>
    <row r="44" spans="1:19" s="233" customFormat="1" ht="18" customHeight="1">
      <c r="A44" s="802">
        <v>27</v>
      </c>
      <c r="B44" s="440" t="s">
        <v>124</v>
      </c>
      <c r="C44" s="239">
        <f t="shared" si="25"/>
        <v>5966071</v>
      </c>
      <c r="D44" s="240">
        <f>E44+H44</f>
        <v>656807</v>
      </c>
      <c r="E44" s="240">
        <f>F44+G44</f>
        <v>656807</v>
      </c>
      <c r="F44" s="254">
        <v>656807</v>
      </c>
      <c r="G44" s="254">
        <v>0</v>
      </c>
      <c r="H44" s="265">
        <v>0</v>
      </c>
      <c r="I44" s="239">
        <f>J44+N44</f>
        <v>5309264</v>
      </c>
      <c r="J44" s="240">
        <f>SUM(K44:M44)</f>
        <v>675591</v>
      </c>
      <c r="K44" s="254">
        <v>275141</v>
      </c>
      <c r="L44" s="254">
        <v>400450</v>
      </c>
      <c r="M44" s="254">
        <v>0</v>
      </c>
      <c r="N44" s="240">
        <f>SUM(O44:R44)</f>
        <v>4633673</v>
      </c>
      <c r="O44" s="254">
        <v>119202</v>
      </c>
      <c r="P44" s="254">
        <v>25666</v>
      </c>
      <c r="Q44" s="254">
        <v>721967</v>
      </c>
      <c r="R44" s="257">
        <v>3766838</v>
      </c>
      <c r="S44" s="222">
        <v>29</v>
      </c>
    </row>
    <row r="45" spans="1:19" s="233" customFormat="1" ht="18" customHeight="1">
      <c r="A45" s="802">
        <v>28</v>
      </c>
      <c r="B45" s="440" t="s">
        <v>125</v>
      </c>
      <c r="C45" s="239">
        <f t="shared" si="25"/>
        <v>4330211</v>
      </c>
      <c r="D45" s="240">
        <f>E45+H45</f>
        <v>1107265</v>
      </c>
      <c r="E45" s="240">
        <f>F45+G45</f>
        <v>1107265</v>
      </c>
      <c r="F45" s="254">
        <v>1107265</v>
      </c>
      <c r="G45" s="254">
        <v>0</v>
      </c>
      <c r="H45" s="265">
        <v>0</v>
      </c>
      <c r="I45" s="239">
        <f>J45+N45</f>
        <v>3222946</v>
      </c>
      <c r="J45" s="240">
        <f>SUM(K45:M45)</f>
        <v>177930</v>
      </c>
      <c r="K45" s="254">
        <v>167</v>
      </c>
      <c r="L45" s="254">
        <v>177763</v>
      </c>
      <c r="M45" s="254">
        <v>0</v>
      </c>
      <c r="N45" s="240">
        <f>SUM(O45:R45)</f>
        <v>3045016</v>
      </c>
      <c r="O45" s="254">
        <v>43325</v>
      </c>
      <c r="P45" s="254">
        <v>10478</v>
      </c>
      <c r="Q45" s="254">
        <v>373673</v>
      </c>
      <c r="R45" s="257">
        <v>2617540</v>
      </c>
      <c r="S45" s="222">
        <v>30</v>
      </c>
    </row>
    <row r="46" spans="1:19" s="233" customFormat="1" ht="18" customHeight="1">
      <c r="A46" s="927" t="s">
        <v>373</v>
      </c>
      <c r="B46" s="952"/>
      <c r="C46" s="242">
        <f t="shared" si="25"/>
        <v>10309145</v>
      </c>
      <c r="D46" s="243">
        <f>SUM(D47:D49)</f>
        <v>1310707</v>
      </c>
      <c r="E46" s="243">
        <f>SUM(E47:E49)</f>
        <v>1310707</v>
      </c>
      <c r="F46" s="243">
        <f>SUM(F47:F49)</f>
        <v>1294642</v>
      </c>
      <c r="G46" s="243">
        <f>SUM(G47:G49)</f>
        <v>16065</v>
      </c>
      <c r="H46" s="264">
        <f>SUM(H47:H49)</f>
        <v>0</v>
      </c>
      <c r="I46" s="242">
        <f aca="true" t="shared" si="27" ref="I46:R46">SUM(I47:I49)</f>
        <v>8998438</v>
      </c>
      <c r="J46" s="243">
        <f t="shared" si="27"/>
        <v>651989</v>
      </c>
      <c r="K46" s="243">
        <f t="shared" si="27"/>
        <v>262449</v>
      </c>
      <c r="L46" s="243">
        <f t="shared" si="27"/>
        <v>356244</v>
      </c>
      <c r="M46" s="243">
        <f t="shared" si="27"/>
        <v>33296</v>
      </c>
      <c r="N46" s="243">
        <f t="shared" si="27"/>
        <v>8346449</v>
      </c>
      <c r="O46" s="243">
        <f t="shared" si="27"/>
        <v>346894</v>
      </c>
      <c r="P46" s="243">
        <f t="shared" si="27"/>
        <v>356518</v>
      </c>
      <c r="Q46" s="243">
        <f t="shared" si="27"/>
        <v>1195160</v>
      </c>
      <c r="R46" s="244">
        <f t="shared" si="27"/>
        <v>6447877</v>
      </c>
      <c r="S46" s="251"/>
    </row>
    <row r="47" spans="1:19" s="233" customFormat="1" ht="18" customHeight="1">
      <c r="A47" s="802">
        <v>29</v>
      </c>
      <c r="B47" s="440" t="s">
        <v>126</v>
      </c>
      <c r="C47" s="239">
        <f t="shared" si="25"/>
        <v>4132931</v>
      </c>
      <c r="D47" s="240">
        <f>E47+H47</f>
        <v>42014</v>
      </c>
      <c r="E47" s="240">
        <f>F47+G47</f>
        <v>42014</v>
      </c>
      <c r="F47" s="254">
        <v>42014</v>
      </c>
      <c r="G47" s="254">
        <v>0</v>
      </c>
      <c r="H47" s="265">
        <v>0</v>
      </c>
      <c r="I47" s="239">
        <f>J47+N47</f>
        <v>4090917</v>
      </c>
      <c r="J47" s="240">
        <f>SUM(K47:M47)</f>
        <v>452290</v>
      </c>
      <c r="K47" s="254">
        <v>249311</v>
      </c>
      <c r="L47" s="254">
        <v>169683</v>
      </c>
      <c r="M47" s="254">
        <v>33296</v>
      </c>
      <c r="N47" s="240">
        <f>SUM(O47:R47)</f>
        <v>3638627</v>
      </c>
      <c r="O47" s="254">
        <v>66852</v>
      </c>
      <c r="P47" s="254">
        <v>48834</v>
      </c>
      <c r="Q47" s="254">
        <v>432119</v>
      </c>
      <c r="R47" s="257">
        <v>3090822</v>
      </c>
      <c r="S47" s="222">
        <v>31</v>
      </c>
    </row>
    <row r="48" spans="1:19" s="233" customFormat="1" ht="18" customHeight="1">
      <c r="A48" s="802">
        <v>30</v>
      </c>
      <c r="B48" s="440" t="s">
        <v>127</v>
      </c>
      <c r="C48" s="239">
        <f aca="true" t="shared" si="28" ref="C48:C54">D48+I48</f>
        <v>3276035</v>
      </c>
      <c r="D48" s="240">
        <f>E48+H48</f>
        <v>1015548</v>
      </c>
      <c r="E48" s="240">
        <f>F48+G48</f>
        <v>1015548</v>
      </c>
      <c r="F48" s="254">
        <v>1015548</v>
      </c>
      <c r="G48" s="254">
        <v>0</v>
      </c>
      <c r="H48" s="265">
        <v>0</v>
      </c>
      <c r="I48" s="239">
        <f>J48+N48</f>
        <v>2260487</v>
      </c>
      <c r="J48" s="240">
        <f>SUM(K48:M48)</f>
        <v>95004</v>
      </c>
      <c r="K48" s="254">
        <v>1068</v>
      </c>
      <c r="L48" s="254">
        <v>93936</v>
      </c>
      <c r="M48" s="254">
        <v>0</v>
      </c>
      <c r="N48" s="240">
        <f>SUM(O48:R48)</f>
        <v>2165483</v>
      </c>
      <c r="O48" s="254">
        <v>231656</v>
      </c>
      <c r="P48" s="254">
        <v>144335</v>
      </c>
      <c r="Q48" s="254">
        <v>695572</v>
      </c>
      <c r="R48" s="257">
        <v>1093920</v>
      </c>
      <c r="S48" s="222">
        <v>33</v>
      </c>
    </row>
    <row r="49" spans="1:19" s="233" customFormat="1" ht="18" customHeight="1">
      <c r="A49" s="802">
        <v>31</v>
      </c>
      <c r="B49" s="440" t="s">
        <v>137</v>
      </c>
      <c r="C49" s="239">
        <f t="shared" si="28"/>
        <v>2900179</v>
      </c>
      <c r="D49" s="240">
        <f>E49+H49</f>
        <v>253145</v>
      </c>
      <c r="E49" s="240">
        <f>F49+G49</f>
        <v>253145</v>
      </c>
      <c r="F49" s="254">
        <v>237080</v>
      </c>
      <c r="G49" s="254">
        <v>16065</v>
      </c>
      <c r="H49" s="265">
        <v>0</v>
      </c>
      <c r="I49" s="239">
        <f>J49+N49</f>
        <v>2647034</v>
      </c>
      <c r="J49" s="240">
        <f>SUM(K49:M49)</f>
        <v>104695</v>
      </c>
      <c r="K49" s="254">
        <v>12070</v>
      </c>
      <c r="L49" s="254">
        <v>92625</v>
      </c>
      <c r="M49" s="254">
        <v>0</v>
      </c>
      <c r="N49" s="240">
        <f>SUM(O49:R49)</f>
        <v>2542339</v>
      </c>
      <c r="O49" s="254">
        <v>48386</v>
      </c>
      <c r="P49" s="254">
        <v>163349</v>
      </c>
      <c r="Q49" s="254">
        <v>67469</v>
      </c>
      <c r="R49" s="257">
        <v>2263135</v>
      </c>
      <c r="S49" s="222">
        <v>34</v>
      </c>
    </row>
    <row r="50" spans="1:19" s="233" customFormat="1" ht="18" customHeight="1">
      <c r="A50" s="927" t="s">
        <v>374</v>
      </c>
      <c r="B50" s="952"/>
      <c r="C50" s="242">
        <f t="shared" si="28"/>
        <v>10587544</v>
      </c>
      <c r="D50" s="243">
        <f>SUM(D51:D54)</f>
        <v>1178846</v>
      </c>
      <c r="E50" s="243">
        <f>SUM(E51:E54)</f>
        <v>1178846</v>
      </c>
      <c r="F50" s="243">
        <f>SUM(F51:F54)</f>
        <v>1178846</v>
      </c>
      <c r="G50" s="243">
        <f>SUM(G51:G54)</f>
        <v>0</v>
      </c>
      <c r="H50" s="264">
        <v>0</v>
      </c>
      <c r="I50" s="242">
        <f>SUM(I51:I54)</f>
        <v>9408698</v>
      </c>
      <c r="J50" s="243">
        <f>SUM(J51:J54)</f>
        <v>487247</v>
      </c>
      <c r="K50" s="243">
        <f aca="true" t="shared" si="29" ref="K50:P50">SUM(K51:K54)</f>
        <v>187834</v>
      </c>
      <c r="L50" s="243">
        <f t="shared" si="29"/>
        <v>299413</v>
      </c>
      <c r="M50" s="243">
        <f t="shared" si="29"/>
        <v>0</v>
      </c>
      <c r="N50" s="243">
        <f t="shared" si="29"/>
        <v>8921451</v>
      </c>
      <c r="O50" s="243">
        <f t="shared" si="29"/>
        <v>159168</v>
      </c>
      <c r="P50" s="243">
        <f t="shared" si="29"/>
        <v>135248</v>
      </c>
      <c r="Q50" s="243">
        <f>SUM(Q51:Q54)</f>
        <v>578406</v>
      </c>
      <c r="R50" s="244">
        <f>SUM(R51:R54)</f>
        <v>8048629</v>
      </c>
      <c r="S50" s="251"/>
    </row>
    <row r="51" spans="1:19" s="233" customFormat="1" ht="18" customHeight="1">
      <c r="A51" s="802">
        <v>32</v>
      </c>
      <c r="B51" s="440" t="s">
        <v>128</v>
      </c>
      <c r="C51" s="239">
        <f t="shared" si="28"/>
        <v>1476975</v>
      </c>
      <c r="D51" s="240">
        <f>E51+H51</f>
        <v>76987</v>
      </c>
      <c r="E51" s="240">
        <f>F51+G51</f>
        <v>76987</v>
      </c>
      <c r="F51" s="254">
        <v>76987</v>
      </c>
      <c r="G51" s="254">
        <v>0</v>
      </c>
      <c r="H51" s="265">
        <v>0</v>
      </c>
      <c r="I51" s="239">
        <f>J51+N51</f>
        <v>1399988</v>
      </c>
      <c r="J51" s="240">
        <f>SUM(K51:M51)</f>
        <v>293548</v>
      </c>
      <c r="K51" s="254">
        <v>178819</v>
      </c>
      <c r="L51" s="254">
        <v>114729</v>
      </c>
      <c r="M51" s="254">
        <v>0</v>
      </c>
      <c r="N51" s="240">
        <f>SUM(O51:R51)</f>
        <v>1106440</v>
      </c>
      <c r="O51" s="254">
        <v>9693</v>
      </c>
      <c r="P51" s="254">
        <v>14036</v>
      </c>
      <c r="Q51" s="254">
        <v>178976</v>
      </c>
      <c r="R51" s="257">
        <v>903735</v>
      </c>
      <c r="S51" s="222">
        <v>35</v>
      </c>
    </row>
    <row r="52" spans="1:19" s="233" customFormat="1" ht="18" customHeight="1">
      <c r="A52" s="802">
        <v>33</v>
      </c>
      <c r="B52" s="440" t="s">
        <v>129</v>
      </c>
      <c r="C52" s="239">
        <f t="shared" si="28"/>
        <v>4971451</v>
      </c>
      <c r="D52" s="240">
        <f>E52+H52</f>
        <v>519880</v>
      </c>
      <c r="E52" s="240">
        <f>F52+G52</f>
        <v>519880</v>
      </c>
      <c r="F52" s="254">
        <v>519880</v>
      </c>
      <c r="G52" s="254">
        <v>0</v>
      </c>
      <c r="H52" s="265">
        <v>0</v>
      </c>
      <c r="I52" s="239">
        <f>J52+N52</f>
        <v>4451571</v>
      </c>
      <c r="J52" s="240">
        <f>SUM(K52:M52)</f>
        <v>93693</v>
      </c>
      <c r="K52" s="254">
        <v>8111</v>
      </c>
      <c r="L52" s="254">
        <v>85582</v>
      </c>
      <c r="M52" s="254">
        <v>0</v>
      </c>
      <c r="N52" s="240">
        <f>SUM(O52:R52)</f>
        <v>4357878</v>
      </c>
      <c r="O52" s="254">
        <v>100302</v>
      </c>
      <c r="P52" s="254">
        <v>43966</v>
      </c>
      <c r="Q52" s="254">
        <v>339782</v>
      </c>
      <c r="R52" s="257">
        <v>3873828</v>
      </c>
      <c r="S52" s="222">
        <v>36</v>
      </c>
    </row>
    <row r="53" spans="1:19" s="233" customFormat="1" ht="18" customHeight="1">
      <c r="A53" s="802">
        <v>34</v>
      </c>
      <c r="B53" s="440" t="s">
        <v>130</v>
      </c>
      <c r="C53" s="239">
        <f>D53+I53</f>
        <v>3024016</v>
      </c>
      <c r="D53" s="240">
        <f>E53+H53</f>
        <v>479054</v>
      </c>
      <c r="E53" s="240">
        <f>F53+G53</f>
        <v>479054</v>
      </c>
      <c r="F53" s="254">
        <v>479054</v>
      </c>
      <c r="G53" s="254">
        <v>0</v>
      </c>
      <c r="H53" s="265">
        <v>0</v>
      </c>
      <c r="I53" s="239">
        <f>J53+N53</f>
        <v>2544962</v>
      </c>
      <c r="J53" s="240">
        <f>SUM(K53:M53)</f>
        <v>44638</v>
      </c>
      <c r="K53" s="254">
        <v>789</v>
      </c>
      <c r="L53" s="254">
        <v>43849</v>
      </c>
      <c r="M53" s="254">
        <v>0</v>
      </c>
      <c r="N53" s="240">
        <f>SUM(O53:R53)</f>
        <v>2500324</v>
      </c>
      <c r="O53" s="254">
        <v>10605</v>
      </c>
      <c r="P53" s="254">
        <v>67394</v>
      </c>
      <c r="Q53" s="254">
        <v>20081</v>
      </c>
      <c r="R53" s="257">
        <v>2402244</v>
      </c>
      <c r="S53" s="222">
        <v>37</v>
      </c>
    </row>
    <row r="54" spans="1:19" s="233" customFormat="1" ht="18" customHeight="1" thickBot="1">
      <c r="A54" s="513">
        <v>35</v>
      </c>
      <c r="B54" s="476" t="s">
        <v>131</v>
      </c>
      <c r="C54" s="462">
        <f t="shared" si="28"/>
        <v>1115102</v>
      </c>
      <c r="D54" s="463">
        <f>E54+H54</f>
        <v>102925</v>
      </c>
      <c r="E54" s="463">
        <f>F54+G54</f>
        <v>102925</v>
      </c>
      <c r="F54" s="266">
        <v>102925</v>
      </c>
      <c r="G54" s="266">
        <v>0</v>
      </c>
      <c r="H54" s="464">
        <v>0</v>
      </c>
      <c r="I54" s="462">
        <f>J54+N54</f>
        <v>1012177</v>
      </c>
      <c r="J54" s="463">
        <f>SUM(K54:M54)</f>
        <v>55368</v>
      </c>
      <c r="K54" s="266">
        <v>115</v>
      </c>
      <c r="L54" s="266">
        <v>55253</v>
      </c>
      <c r="M54" s="266">
        <v>0</v>
      </c>
      <c r="N54" s="463">
        <f>SUM(O54:R54)</f>
        <v>956809</v>
      </c>
      <c r="O54" s="266">
        <v>38568</v>
      </c>
      <c r="P54" s="266">
        <v>9852</v>
      </c>
      <c r="Q54" s="266">
        <v>39567</v>
      </c>
      <c r="R54" s="385">
        <v>868822</v>
      </c>
      <c r="S54" s="223">
        <v>38</v>
      </c>
    </row>
    <row r="55" s="233" customFormat="1" ht="14.25"/>
    <row r="56" s="233" customFormat="1" ht="14.25"/>
    <row r="57" s="233" customFormat="1" ht="14.25"/>
    <row r="58" s="233" customFormat="1" ht="14.25" customHeight="1"/>
    <row r="59" s="233" customFormat="1" ht="14.25"/>
    <row r="60" s="233" customFormat="1" ht="14.25"/>
    <row r="61" s="233" customFormat="1" ht="14.25"/>
    <row r="62" s="233" customFormat="1" ht="14.25"/>
    <row r="63" s="233" customFormat="1" ht="14.25"/>
  </sheetData>
  <sheetProtection/>
  <mergeCells count="24">
    <mergeCell ref="A3:B5"/>
    <mergeCell ref="C3:C5"/>
    <mergeCell ref="D3:H3"/>
    <mergeCell ref="I3:R3"/>
    <mergeCell ref="D4:D5"/>
    <mergeCell ref="E4:G4"/>
    <mergeCell ref="H4:H5"/>
    <mergeCell ref="I4:I5"/>
    <mergeCell ref="J4:M4"/>
    <mergeCell ref="N4:R4"/>
    <mergeCell ref="A17:B17"/>
    <mergeCell ref="A24:B24"/>
    <mergeCell ref="A50:B50"/>
    <mergeCell ref="A25:B25"/>
    <mergeCell ref="A32:B32"/>
    <mergeCell ref="A42:B42"/>
    <mergeCell ref="A43:B43"/>
    <mergeCell ref="A46:B46"/>
    <mergeCell ref="A6:B6"/>
    <mergeCell ref="A7:B7"/>
    <mergeCell ref="A8:B8"/>
    <mergeCell ref="A9:B9"/>
    <mergeCell ref="A10:B10"/>
    <mergeCell ref="A16:B16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71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BF66"/>
  <sheetViews>
    <sheetView tabSelected="1" view="pageBreakPreview" zoomScaleSheetLayoutView="100" zoomScalePageLayoutView="0" workbookViewId="0" topLeftCell="A1">
      <pane xSplit="2" ySplit="8" topLeftCell="D38" activePane="bottomRight" state="frozen"/>
      <selection pane="topLeft" activeCell="H55" sqref="H55"/>
      <selection pane="topRight" activeCell="H55" sqref="H55"/>
      <selection pane="bottomLeft" activeCell="H55" sqref="H55"/>
      <selection pane="bottomRight" activeCell="F53" sqref="F53"/>
    </sheetView>
  </sheetViews>
  <sheetFormatPr defaultColWidth="10.75390625" defaultRowHeight="13.5"/>
  <cols>
    <col min="1" max="1" width="4.625" style="330" customWidth="1"/>
    <col min="2" max="2" width="19.625" style="330" customWidth="1"/>
    <col min="3" max="6" width="9.625" style="330" customWidth="1"/>
    <col min="7" max="11" width="9.625" style="329" customWidth="1"/>
    <col min="12" max="12" width="9.625" style="472" customWidth="1"/>
    <col min="13" max="20" width="9.625" style="329" customWidth="1"/>
    <col min="21" max="21" width="5.50390625" style="272" bestFit="1" customWidth="1"/>
    <col min="22" max="22" width="4.625" style="330" customWidth="1"/>
    <col min="23" max="23" width="19.75390625" style="330" customWidth="1"/>
    <col min="24" max="27" width="9.625" style="329" customWidth="1"/>
    <col min="28" max="37" width="9.625" style="330" customWidth="1"/>
    <col min="38" max="38" width="9.625" style="294" customWidth="1"/>
    <col min="39" max="42" width="9.625" style="330" customWidth="1"/>
    <col min="43" max="43" width="5.50390625" style="272" bestFit="1" customWidth="1"/>
    <col min="44" max="16384" width="10.75390625" style="330" customWidth="1"/>
  </cols>
  <sheetData>
    <row r="1" spans="1:43" s="269" customFormat="1" ht="14.25">
      <c r="A1" s="229" t="s">
        <v>151</v>
      </c>
      <c r="B1" s="267"/>
      <c r="D1" s="267"/>
      <c r="E1" s="267"/>
      <c r="F1" s="267"/>
      <c r="G1" s="345"/>
      <c r="H1" s="345"/>
      <c r="I1" s="345"/>
      <c r="J1" s="345"/>
      <c r="K1" s="345"/>
      <c r="L1" s="535"/>
      <c r="M1" s="979" t="s">
        <v>152</v>
      </c>
      <c r="N1" s="980"/>
      <c r="O1" s="980"/>
      <c r="P1" s="980"/>
      <c r="Q1" s="980"/>
      <c r="R1" s="980"/>
      <c r="S1" s="345"/>
      <c r="T1" s="345"/>
      <c r="U1" s="268"/>
      <c r="V1" s="229"/>
      <c r="W1" s="267"/>
      <c r="X1" s="345"/>
      <c r="Y1" s="345"/>
      <c r="Z1" s="345"/>
      <c r="AA1" s="345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29"/>
      <c r="AM1" s="267"/>
      <c r="AN1" s="267"/>
      <c r="AO1" s="267"/>
      <c r="AP1" s="990" t="s">
        <v>147</v>
      </c>
      <c r="AQ1" s="268"/>
    </row>
    <row r="2" spans="1:43" s="273" customFormat="1" ht="12" customHeight="1" thickBot="1">
      <c r="A2" s="270"/>
      <c r="B2" s="270"/>
      <c r="C2" s="270"/>
      <c r="D2" s="270"/>
      <c r="E2" s="270"/>
      <c r="F2" s="270"/>
      <c r="G2" s="271"/>
      <c r="H2" s="271"/>
      <c r="I2" s="271"/>
      <c r="J2" s="271"/>
      <c r="K2" s="271"/>
      <c r="L2" s="536"/>
      <c r="M2" s="981"/>
      <c r="N2" s="981"/>
      <c r="O2" s="981"/>
      <c r="P2" s="981"/>
      <c r="Q2" s="981"/>
      <c r="R2" s="981"/>
      <c r="S2" s="271"/>
      <c r="T2" s="271"/>
      <c r="U2" s="272"/>
      <c r="V2" s="270"/>
      <c r="W2" s="270"/>
      <c r="X2" s="271"/>
      <c r="Y2" s="271"/>
      <c r="Z2" s="271"/>
      <c r="AA2" s="271"/>
      <c r="AB2" s="270"/>
      <c r="AC2" s="270"/>
      <c r="AD2" s="270"/>
      <c r="AE2" s="270"/>
      <c r="AF2" s="270"/>
      <c r="AG2" s="270"/>
      <c r="AH2" s="537"/>
      <c r="AI2" s="270"/>
      <c r="AJ2" s="270"/>
      <c r="AK2" s="270"/>
      <c r="AL2" s="538"/>
      <c r="AM2" s="270"/>
      <c r="AN2" s="270"/>
      <c r="AO2" s="270"/>
      <c r="AP2" s="991"/>
      <c r="AQ2" s="272"/>
    </row>
    <row r="3" spans="1:43" s="276" customFormat="1" ht="12" customHeight="1">
      <c r="A3" s="1025" t="s">
        <v>60</v>
      </c>
      <c r="B3" s="1026"/>
      <c r="C3" s="1007" t="s">
        <v>153</v>
      </c>
      <c r="D3" s="1008"/>
      <c r="E3" s="1008"/>
      <c r="F3" s="1008"/>
      <c r="G3" s="1008"/>
      <c r="H3" s="1008"/>
      <c r="I3" s="1008"/>
      <c r="J3" s="1008"/>
      <c r="K3" s="1008"/>
      <c r="L3" s="1008"/>
      <c r="M3" s="1009"/>
      <c r="N3" s="1016" t="s">
        <v>146</v>
      </c>
      <c r="O3" s="999"/>
      <c r="P3" s="999"/>
      <c r="Q3" s="999"/>
      <c r="R3" s="999"/>
      <c r="S3" s="999"/>
      <c r="T3" s="1000"/>
      <c r="U3" s="274"/>
      <c r="V3" s="1012" t="s">
        <v>60</v>
      </c>
      <c r="W3" s="1013"/>
      <c r="X3" s="998" t="s">
        <v>146</v>
      </c>
      <c r="Y3" s="999"/>
      <c r="Z3" s="999"/>
      <c r="AA3" s="1000"/>
      <c r="AB3" s="1001" t="s">
        <v>154</v>
      </c>
      <c r="AC3" s="1002"/>
      <c r="AD3" s="1002"/>
      <c r="AE3" s="1002"/>
      <c r="AF3" s="1002"/>
      <c r="AG3" s="1002"/>
      <c r="AH3" s="1002"/>
      <c r="AI3" s="1002"/>
      <c r="AJ3" s="1002"/>
      <c r="AK3" s="1002"/>
      <c r="AL3" s="1002"/>
      <c r="AM3" s="1002"/>
      <c r="AN3" s="1002"/>
      <c r="AO3" s="1002"/>
      <c r="AP3" s="1003"/>
      <c r="AQ3" s="275"/>
    </row>
    <row r="4" spans="1:43" s="276" customFormat="1" ht="12" customHeight="1">
      <c r="A4" s="1027"/>
      <c r="B4" s="962"/>
      <c r="C4" s="1010" t="s">
        <v>155</v>
      </c>
      <c r="D4" s="987" t="s">
        <v>156</v>
      </c>
      <c r="E4" s="988"/>
      <c r="F4" s="1004"/>
      <c r="G4" s="987" t="s">
        <v>222</v>
      </c>
      <c r="H4" s="988"/>
      <c r="I4" s="1004"/>
      <c r="J4" s="987" t="s">
        <v>223</v>
      </c>
      <c r="K4" s="988"/>
      <c r="L4" s="1004"/>
      <c r="M4" s="1022" t="s">
        <v>224</v>
      </c>
      <c r="N4" s="1022" t="s">
        <v>157</v>
      </c>
      <c r="O4" s="988" t="s">
        <v>156</v>
      </c>
      <c r="P4" s="988"/>
      <c r="Q4" s="1004"/>
      <c r="R4" s="1017" t="s">
        <v>222</v>
      </c>
      <c r="S4" s="1017"/>
      <c r="T4" s="1018"/>
      <c r="U4" s="277"/>
      <c r="V4" s="961"/>
      <c r="W4" s="1014"/>
      <c r="X4" s="1019" t="s">
        <v>223</v>
      </c>
      <c r="Y4" s="1017"/>
      <c r="Z4" s="1017"/>
      <c r="AA4" s="1005" t="s">
        <v>224</v>
      </c>
      <c r="AB4" s="996" t="s">
        <v>158</v>
      </c>
      <c r="AC4" s="987" t="s">
        <v>159</v>
      </c>
      <c r="AD4" s="988"/>
      <c r="AE4" s="1004"/>
      <c r="AF4" s="987" t="s">
        <v>222</v>
      </c>
      <c r="AG4" s="988"/>
      <c r="AH4" s="1004"/>
      <c r="AI4" s="987" t="s">
        <v>223</v>
      </c>
      <c r="AJ4" s="988"/>
      <c r="AK4" s="1004"/>
      <c r="AL4" s="987" t="s">
        <v>225</v>
      </c>
      <c r="AM4" s="988"/>
      <c r="AN4" s="988"/>
      <c r="AO4" s="988"/>
      <c r="AP4" s="989"/>
      <c r="AQ4" s="278"/>
    </row>
    <row r="5" spans="1:43" s="276" customFormat="1" ht="12" customHeight="1" thickBot="1">
      <c r="A5" s="1028"/>
      <c r="B5" s="964"/>
      <c r="C5" s="1011"/>
      <c r="D5" s="279" t="s">
        <v>160</v>
      </c>
      <c r="E5" s="279" t="s">
        <v>226</v>
      </c>
      <c r="F5" s="279" t="s">
        <v>227</v>
      </c>
      <c r="G5" s="279" t="s">
        <v>161</v>
      </c>
      <c r="H5" s="279" t="s">
        <v>228</v>
      </c>
      <c r="I5" s="280" t="s">
        <v>229</v>
      </c>
      <c r="J5" s="281" t="s">
        <v>162</v>
      </c>
      <c r="K5" s="280" t="s">
        <v>230</v>
      </c>
      <c r="L5" s="281" t="s">
        <v>231</v>
      </c>
      <c r="M5" s="1024"/>
      <c r="N5" s="1023"/>
      <c r="O5" s="281" t="s">
        <v>160</v>
      </c>
      <c r="P5" s="279" t="s">
        <v>226</v>
      </c>
      <c r="Q5" s="279" t="s">
        <v>227</v>
      </c>
      <c r="R5" s="279" t="s">
        <v>161</v>
      </c>
      <c r="S5" s="279" t="s">
        <v>228</v>
      </c>
      <c r="T5" s="333" t="s">
        <v>229</v>
      </c>
      <c r="U5" s="282"/>
      <c r="V5" s="963"/>
      <c r="W5" s="1015"/>
      <c r="X5" s="339" t="s">
        <v>162</v>
      </c>
      <c r="Y5" s="279" t="s">
        <v>230</v>
      </c>
      <c r="Z5" s="279" t="s">
        <v>231</v>
      </c>
      <c r="AA5" s="1006"/>
      <c r="AB5" s="997"/>
      <c r="AC5" s="279" t="s">
        <v>160</v>
      </c>
      <c r="AD5" s="279" t="s">
        <v>226</v>
      </c>
      <c r="AE5" s="280" t="s">
        <v>227</v>
      </c>
      <c r="AF5" s="834" t="s">
        <v>161</v>
      </c>
      <c r="AG5" s="281" t="s">
        <v>228</v>
      </c>
      <c r="AH5" s="279" t="s">
        <v>229</v>
      </c>
      <c r="AI5" s="279" t="s">
        <v>162</v>
      </c>
      <c r="AJ5" s="279" t="s">
        <v>230</v>
      </c>
      <c r="AK5" s="279" t="s">
        <v>231</v>
      </c>
      <c r="AL5" s="279" t="s">
        <v>163</v>
      </c>
      <c r="AM5" s="279" t="s">
        <v>148</v>
      </c>
      <c r="AN5" s="279" t="s">
        <v>149</v>
      </c>
      <c r="AO5" s="279" t="s">
        <v>56</v>
      </c>
      <c r="AP5" s="283" t="s">
        <v>150</v>
      </c>
      <c r="AQ5" s="284"/>
    </row>
    <row r="6" spans="1:43" s="294" customFormat="1" ht="18.75" customHeight="1">
      <c r="A6" s="1020" t="s">
        <v>246</v>
      </c>
      <c r="B6" s="1021"/>
      <c r="C6" s="285">
        <v>422323</v>
      </c>
      <c r="D6" s="286">
        <v>394864</v>
      </c>
      <c r="E6" s="286">
        <v>202591</v>
      </c>
      <c r="F6" s="286">
        <v>192273</v>
      </c>
      <c r="G6" s="286">
        <v>182597</v>
      </c>
      <c r="H6" s="287">
        <v>174449</v>
      </c>
      <c r="I6" s="288">
        <v>8148</v>
      </c>
      <c r="J6" s="292">
        <v>212267</v>
      </c>
      <c r="K6" s="288">
        <v>28142</v>
      </c>
      <c r="L6" s="289">
        <v>184125</v>
      </c>
      <c r="M6" s="815">
        <v>27458</v>
      </c>
      <c r="N6" s="286">
        <v>195574</v>
      </c>
      <c r="O6" s="292">
        <v>176584</v>
      </c>
      <c r="P6" s="286">
        <v>83765</v>
      </c>
      <c r="Q6" s="286">
        <v>92819</v>
      </c>
      <c r="R6" s="286">
        <v>71989</v>
      </c>
      <c r="S6" s="287">
        <v>64492</v>
      </c>
      <c r="T6" s="334">
        <v>7496</v>
      </c>
      <c r="U6" s="290" t="s">
        <v>247</v>
      </c>
      <c r="V6" s="992" t="s">
        <v>246</v>
      </c>
      <c r="W6" s="993"/>
      <c r="X6" s="340">
        <v>104596</v>
      </c>
      <c r="Y6" s="287">
        <v>19273</v>
      </c>
      <c r="Z6" s="287">
        <v>85323</v>
      </c>
      <c r="AA6" s="293">
        <v>18989</v>
      </c>
      <c r="AB6" s="292">
        <v>226749</v>
      </c>
      <c r="AC6" s="286">
        <v>218280</v>
      </c>
      <c r="AD6" s="286">
        <v>118826</v>
      </c>
      <c r="AE6" s="291">
        <v>99454</v>
      </c>
      <c r="AF6" s="835">
        <v>110609</v>
      </c>
      <c r="AG6" s="292">
        <v>109957</v>
      </c>
      <c r="AH6" s="286">
        <v>652</v>
      </c>
      <c r="AI6" s="286">
        <v>107671</v>
      </c>
      <c r="AJ6" s="286">
        <v>8869</v>
      </c>
      <c r="AK6" s="286">
        <v>98802</v>
      </c>
      <c r="AL6" s="286">
        <v>8469</v>
      </c>
      <c r="AM6" s="286">
        <v>1233</v>
      </c>
      <c r="AN6" s="286">
        <v>1211</v>
      </c>
      <c r="AO6" s="286">
        <v>3281</v>
      </c>
      <c r="AP6" s="293">
        <v>2743</v>
      </c>
      <c r="AQ6" s="290" t="s">
        <v>247</v>
      </c>
    </row>
    <row r="7" spans="1:43" s="294" customFormat="1" ht="18.75" customHeight="1">
      <c r="A7" s="1020" t="s">
        <v>248</v>
      </c>
      <c r="B7" s="1021"/>
      <c r="C7" s="285">
        <v>422765.1</v>
      </c>
      <c r="D7" s="286">
        <v>395742.88</v>
      </c>
      <c r="E7" s="286">
        <v>198505.23</v>
      </c>
      <c r="F7" s="286">
        <v>197237.65</v>
      </c>
      <c r="G7" s="286">
        <v>181534.04</v>
      </c>
      <c r="H7" s="286">
        <v>170205.84</v>
      </c>
      <c r="I7" s="291">
        <v>11328.2</v>
      </c>
      <c r="J7" s="292">
        <v>214208.84</v>
      </c>
      <c r="K7" s="291">
        <v>28299.39</v>
      </c>
      <c r="L7" s="292">
        <v>185909.45</v>
      </c>
      <c r="M7" s="286">
        <v>27022.22</v>
      </c>
      <c r="N7" s="286">
        <v>195332.42</v>
      </c>
      <c r="O7" s="292">
        <v>176334.08</v>
      </c>
      <c r="P7" s="286">
        <v>79642.39</v>
      </c>
      <c r="Q7" s="286">
        <v>96691.69</v>
      </c>
      <c r="R7" s="286">
        <v>70584.86</v>
      </c>
      <c r="S7" s="286">
        <v>60145</v>
      </c>
      <c r="T7" s="293">
        <v>10439.86</v>
      </c>
      <c r="U7" s="290" t="s">
        <v>249</v>
      </c>
      <c r="V7" s="992" t="s">
        <v>248</v>
      </c>
      <c r="W7" s="993"/>
      <c r="X7" s="340">
        <v>105749.22</v>
      </c>
      <c r="Y7" s="286">
        <v>19497.39</v>
      </c>
      <c r="Z7" s="286">
        <v>86251.83</v>
      </c>
      <c r="AA7" s="293">
        <v>18998.34</v>
      </c>
      <c r="AB7" s="292">
        <v>227432.68</v>
      </c>
      <c r="AC7" s="286">
        <v>219408.8</v>
      </c>
      <c r="AD7" s="286">
        <v>118862.84</v>
      </c>
      <c r="AE7" s="291">
        <v>100545.96</v>
      </c>
      <c r="AF7" s="835">
        <v>110949.18</v>
      </c>
      <c r="AG7" s="292">
        <v>110060.84</v>
      </c>
      <c r="AH7" s="286">
        <v>888.34</v>
      </c>
      <c r="AI7" s="286">
        <v>108459.62</v>
      </c>
      <c r="AJ7" s="286">
        <v>8802</v>
      </c>
      <c r="AK7" s="286">
        <v>99657.62</v>
      </c>
      <c r="AL7" s="286">
        <v>8023.88</v>
      </c>
      <c r="AM7" s="286">
        <v>1228.3</v>
      </c>
      <c r="AN7" s="286">
        <v>1002.06</v>
      </c>
      <c r="AO7" s="286">
        <v>2744.14</v>
      </c>
      <c r="AP7" s="293">
        <v>3049.38</v>
      </c>
      <c r="AQ7" s="290" t="s">
        <v>249</v>
      </c>
    </row>
    <row r="8" spans="1:45" s="303" customFormat="1" ht="18.75" customHeight="1" thickBot="1">
      <c r="A8" s="984" t="s">
        <v>387</v>
      </c>
      <c r="B8" s="985"/>
      <c r="C8" s="295">
        <f>+N8+AB8</f>
        <v>423386.38</v>
      </c>
      <c r="D8" s="296">
        <f>SUM(E8:F8)</f>
        <v>396970.97</v>
      </c>
      <c r="E8" s="296">
        <f>H8+K8</f>
        <v>196433.49</v>
      </c>
      <c r="F8" s="296">
        <f>I8+L8</f>
        <v>200537.48</v>
      </c>
      <c r="G8" s="296">
        <f>SUM(H8:I8)</f>
        <v>179194.56</v>
      </c>
      <c r="H8" s="296">
        <f>S8+AG8</f>
        <v>167852.06</v>
      </c>
      <c r="I8" s="297">
        <f>T8+AH8</f>
        <v>11342.5</v>
      </c>
      <c r="J8" s="298">
        <f>SUM(K8:L8)</f>
        <v>217776.41</v>
      </c>
      <c r="K8" s="297">
        <f>Y8+AJ8</f>
        <v>28581.43</v>
      </c>
      <c r="L8" s="298">
        <f>Z8+AK8</f>
        <v>189194.98</v>
      </c>
      <c r="M8" s="296">
        <f>AA8+AL8</f>
        <v>26414.850000000002</v>
      </c>
      <c r="N8" s="296">
        <f>O8+AA8</f>
        <v>195153.38</v>
      </c>
      <c r="O8" s="298">
        <f>SUM(P8:Q8)</f>
        <v>176085.41</v>
      </c>
      <c r="P8" s="296">
        <v>78980</v>
      </c>
      <c r="Q8" s="296">
        <f>T8+Z8</f>
        <v>97105.41</v>
      </c>
      <c r="R8" s="296">
        <f>R9+R16+R24+R42</f>
        <v>69500.24</v>
      </c>
      <c r="S8" s="296">
        <f>S9+S16+S24+S42</f>
        <v>59219.32</v>
      </c>
      <c r="T8" s="301">
        <f>T9+T16+T24+T42</f>
        <v>10281.29</v>
      </c>
      <c r="U8" s="300" t="s">
        <v>399</v>
      </c>
      <c r="V8" s="994" t="s">
        <v>398</v>
      </c>
      <c r="W8" s="995"/>
      <c r="X8" s="341">
        <f>X9+X16+X24+X42</f>
        <v>106584.98</v>
      </c>
      <c r="Y8" s="296">
        <f>Y9+Y16+Y24+Y42</f>
        <v>19761.36</v>
      </c>
      <c r="Z8" s="296">
        <f>Z9+Z16+Z24+Z42</f>
        <v>86824.12</v>
      </c>
      <c r="AA8" s="301">
        <f>AA9+AA16+AA24+AA42</f>
        <v>19067.97</v>
      </c>
      <c r="AB8" s="298">
        <v>228233</v>
      </c>
      <c r="AC8" s="296">
        <f aca="true" t="shared" si="0" ref="AC8:AP8">+AC9+AC16+AC24+AC42</f>
        <v>220886.15000000002</v>
      </c>
      <c r="AD8" s="296">
        <f t="shared" si="0"/>
        <v>117454.08000000002</v>
      </c>
      <c r="AE8" s="297">
        <f t="shared" si="0"/>
        <v>103432.06999999999</v>
      </c>
      <c r="AF8" s="475">
        <f>+AF9+AF16+AF24+AF42</f>
        <v>109694.82</v>
      </c>
      <c r="AG8" s="298">
        <f t="shared" si="0"/>
        <v>108632.74</v>
      </c>
      <c r="AH8" s="296">
        <f t="shared" si="0"/>
        <v>1061.21</v>
      </c>
      <c r="AI8" s="296">
        <f t="shared" si="0"/>
        <v>111190.93</v>
      </c>
      <c r="AJ8" s="296">
        <f t="shared" si="0"/>
        <v>8820.07</v>
      </c>
      <c r="AK8" s="296">
        <f t="shared" si="0"/>
        <v>102370.86000000002</v>
      </c>
      <c r="AL8" s="296">
        <f>+AL9+AL16+AL24+AL42</f>
        <v>7346.88</v>
      </c>
      <c r="AM8" s="296">
        <f t="shared" si="0"/>
        <v>1225.6999999999998</v>
      </c>
      <c r="AN8" s="296">
        <f t="shared" si="0"/>
        <v>656.92</v>
      </c>
      <c r="AO8" s="296">
        <f t="shared" si="0"/>
        <v>2390.74</v>
      </c>
      <c r="AP8" s="301">
        <f t="shared" si="0"/>
        <v>3072.5900000000006</v>
      </c>
      <c r="AQ8" s="302" t="s">
        <v>399</v>
      </c>
      <c r="AS8" s="543"/>
    </row>
    <row r="9" spans="1:43" s="310" customFormat="1" ht="24.75" customHeight="1">
      <c r="A9" s="983" t="s">
        <v>134</v>
      </c>
      <c r="B9" s="934"/>
      <c r="C9" s="304">
        <f>+N9+AB9</f>
        <v>151746.57</v>
      </c>
      <c r="D9" s="305">
        <f aca="true" t="shared" si="1" ref="D9:T9">D10</f>
        <v>137770.69</v>
      </c>
      <c r="E9" s="305">
        <f t="shared" si="1"/>
        <v>60151.840000000004</v>
      </c>
      <c r="F9" s="305">
        <f t="shared" si="1"/>
        <v>77618.85</v>
      </c>
      <c r="G9" s="305">
        <f t="shared" si="1"/>
        <v>45853.29</v>
      </c>
      <c r="H9" s="305">
        <f t="shared" si="1"/>
        <v>41395.83</v>
      </c>
      <c r="I9" s="306">
        <f t="shared" si="1"/>
        <v>4457.46</v>
      </c>
      <c r="J9" s="307">
        <f t="shared" si="1"/>
        <v>91917.4</v>
      </c>
      <c r="K9" s="306">
        <f t="shared" si="1"/>
        <v>18756.010000000002</v>
      </c>
      <c r="L9" s="307">
        <f t="shared" si="1"/>
        <v>73161.39</v>
      </c>
      <c r="M9" s="305">
        <f t="shared" si="1"/>
        <v>13975.880000000001</v>
      </c>
      <c r="N9" s="305">
        <f t="shared" si="1"/>
        <v>97488.95</v>
      </c>
      <c r="O9" s="307">
        <f t="shared" si="1"/>
        <v>86052.86</v>
      </c>
      <c r="P9" s="305">
        <f t="shared" si="1"/>
        <v>35153.600000000006</v>
      </c>
      <c r="Q9" s="305">
        <f t="shared" si="1"/>
        <v>50899.259999999995</v>
      </c>
      <c r="R9" s="305">
        <f>R10</f>
        <v>28985.370000000003</v>
      </c>
      <c r="S9" s="305">
        <f t="shared" si="1"/>
        <v>24670.56</v>
      </c>
      <c r="T9" s="335">
        <f t="shared" si="1"/>
        <v>4314.81</v>
      </c>
      <c r="U9" s="308"/>
      <c r="V9" s="933" t="s">
        <v>134</v>
      </c>
      <c r="W9" s="934"/>
      <c r="X9" s="342">
        <f aca="true" t="shared" si="2" ref="X9:AO9">X10</f>
        <v>57067.49</v>
      </c>
      <c r="Y9" s="305">
        <f t="shared" si="2"/>
        <v>10483.04</v>
      </c>
      <c r="Z9" s="305">
        <f t="shared" si="2"/>
        <v>46584.45</v>
      </c>
      <c r="AA9" s="335">
        <f t="shared" si="2"/>
        <v>11436.09</v>
      </c>
      <c r="AB9" s="806">
        <f t="shared" si="2"/>
        <v>54257.62</v>
      </c>
      <c r="AC9" s="305">
        <f t="shared" si="2"/>
        <v>51717.83</v>
      </c>
      <c r="AD9" s="305">
        <f t="shared" si="2"/>
        <v>24998.24</v>
      </c>
      <c r="AE9" s="306">
        <f t="shared" si="2"/>
        <v>26719.589999999997</v>
      </c>
      <c r="AF9" s="806">
        <f t="shared" si="2"/>
        <v>16867.92</v>
      </c>
      <c r="AG9" s="307">
        <f t="shared" si="2"/>
        <v>16725.269999999997</v>
      </c>
      <c r="AH9" s="305">
        <f t="shared" si="2"/>
        <v>142.65</v>
      </c>
      <c r="AI9" s="305">
        <f t="shared" si="2"/>
        <v>34849.909999999996</v>
      </c>
      <c r="AJ9" s="305">
        <f t="shared" si="2"/>
        <v>8272.97</v>
      </c>
      <c r="AK9" s="305">
        <f t="shared" si="2"/>
        <v>26576.940000000002</v>
      </c>
      <c r="AL9" s="305">
        <f t="shared" si="2"/>
        <v>2539.7900000000004</v>
      </c>
      <c r="AM9" s="305">
        <f t="shared" si="2"/>
        <v>213.68</v>
      </c>
      <c r="AN9" s="305">
        <f t="shared" si="2"/>
        <v>59.58</v>
      </c>
      <c r="AO9" s="305">
        <f t="shared" si="2"/>
        <v>916.12</v>
      </c>
      <c r="AP9" s="309">
        <f>AP10</f>
        <v>1350.41</v>
      </c>
      <c r="AQ9" s="308"/>
    </row>
    <row r="10" spans="1:43" s="303" customFormat="1" ht="18.75" customHeight="1">
      <c r="A10" s="977" t="s">
        <v>381</v>
      </c>
      <c r="B10" s="928"/>
      <c r="C10" s="295">
        <f>SUM(C11:C15)</f>
        <v>151746.57</v>
      </c>
      <c r="D10" s="296">
        <f aca="true" t="shared" si="3" ref="D10:D15">E10+F10</f>
        <v>137770.69</v>
      </c>
      <c r="E10" s="296">
        <f aca="true" t="shared" si="4" ref="E10:F14">H10+K10</f>
        <v>60151.840000000004</v>
      </c>
      <c r="F10" s="296">
        <f t="shared" si="4"/>
        <v>77618.85</v>
      </c>
      <c r="G10" s="296">
        <f aca="true" t="shared" si="5" ref="G10:G15">H10+I10</f>
        <v>45853.29</v>
      </c>
      <c r="H10" s="296">
        <f aca="true" t="shared" si="6" ref="H10:I14">S10+AG10</f>
        <v>41395.83</v>
      </c>
      <c r="I10" s="297">
        <f t="shared" si="6"/>
        <v>4457.46</v>
      </c>
      <c r="J10" s="298">
        <f aca="true" t="shared" si="7" ref="J10:J15">K10+L10</f>
        <v>91917.4</v>
      </c>
      <c r="K10" s="297">
        <f aca="true" t="shared" si="8" ref="K10:M14">Y10+AJ10</f>
        <v>18756.010000000002</v>
      </c>
      <c r="L10" s="298">
        <f t="shared" si="8"/>
        <v>73161.39</v>
      </c>
      <c r="M10" s="296">
        <f t="shared" si="8"/>
        <v>13975.880000000001</v>
      </c>
      <c r="N10" s="296">
        <f aca="true" t="shared" si="9" ref="N10:N15">O10+AA10</f>
        <v>97488.95</v>
      </c>
      <c r="O10" s="298">
        <f>P10+Q10</f>
        <v>86052.86</v>
      </c>
      <c r="P10" s="296">
        <f aca="true" t="shared" si="10" ref="P10:Q15">S10+Y10</f>
        <v>35153.600000000006</v>
      </c>
      <c r="Q10" s="296">
        <f t="shared" si="10"/>
        <v>50899.259999999995</v>
      </c>
      <c r="R10" s="296">
        <f aca="true" t="shared" si="11" ref="R10:R15">S10+T10</f>
        <v>28985.370000000003</v>
      </c>
      <c r="S10" s="296">
        <f>SUM(S11:S15)</f>
        <v>24670.56</v>
      </c>
      <c r="T10" s="301">
        <f>SUM(T11:T15)</f>
        <v>4314.81</v>
      </c>
      <c r="U10" s="308"/>
      <c r="V10" s="927" t="s">
        <v>381</v>
      </c>
      <c r="W10" s="928"/>
      <c r="X10" s="341">
        <f>Z10+Y10</f>
        <v>57067.49</v>
      </c>
      <c r="Y10" s="296">
        <f aca="true" t="shared" si="12" ref="Y10:AP10">SUM(Y11:Y15)</f>
        <v>10483.04</v>
      </c>
      <c r="Z10" s="296">
        <f t="shared" si="12"/>
        <v>46584.45</v>
      </c>
      <c r="AA10" s="301">
        <f t="shared" si="12"/>
        <v>11436.09</v>
      </c>
      <c r="AB10" s="298">
        <f t="shared" si="12"/>
        <v>54257.62</v>
      </c>
      <c r="AC10" s="296">
        <f t="shared" si="12"/>
        <v>51717.83</v>
      </c>
      <c r="AD10" s="296">
        <f t="shared" si="12"/>
        <v>24998.24</v>
      </c>
      <c r="AE10" s="297">
        <f t="shared" si="12"/>
        <v>26719.589999999997</v>
      </c>
      <c r="AF10" s="475">
        <f t="shared" si="12"/>
        <v>16867.92</v>
      </c>
      <c r="AG10" s="298">
        <f t="shared" si="12"/>
        <v>16725.269999999997</v>
      </c>
      <c r="AH10" s="296">
        <f t="shared" si="12"/>
        <v>142.65</v>
      </c>
      <c r="AI10" s="296">
        <f t="shared" si="12"/>
        <v>34849.909999999996</v>
      </c>
      <c r="AJ10" s="296">
        <f t="shared" si="12"/>
        <v>8272.97</v>
      </c>
      <c r="AK10" s="296">
        <f t="shared" si="12"/>
        <v>26576.940000000002</v>
      </c>
      <c r="AL10" s="296">
        <f t="shared" si="12"/>
        <v>2539.7900000000004</v>
      </c>
      <c r="AM10" s="296">
        <f t="shared" si="12"/>
        <v>213.68</v>
      </c>
      <c r="AN10" s="296">
        <f t="shared" si="12"/>
        <v>59.58</v>
      </c>
      <c r="AO10" s="296">
        <f t="shared" si="12"/>
        <v>916.12</v>
      </c>
      <c r="AP10" s="299">
        <f t="shared" si="12"/>
        <v>1350.41</v>
      </c>
      <c r="AQ10" s="308"/>
    </row>
    <row r="11" spans="1:43" s="294" customFormat="1" ht="18.75" customHeight="1">
      <c r="A11" s="804">
        <v>1</v>
      </c>
      <c r="B11" s="439" t="s">
        <v>102</v>
      </c>
      <c r="C11" s="285">
        <f>+N11+AB11</f>
        <v>35272.479999999996</v>
      </c>
      <c r="D11" s="286">
        <f t="shared" si="3"/>
        <v>33730.520000000004</v>
      </c>
      <c r="E11" s="286">
        <f t="shared" si="4"/>
        <v>16234.340000000002</v>
      </c>
      <c r="F11" s="286">
        <f t="shared" si="4"/>
        <v>17496.18</v>
      </c>
      <c r="G11" s="286">
        <f t="shared" si="5"/>
        <v>17003.41</v>
      </c>
      <c r="H11" s="286">
        <f t="shared" si="6"/>
        <v>14735.220000000001</v>
      </c>
      <c r="I11" s="291">
        <f t="shared" si="6"/>
        <v>2268.19</v>
      </c>
      <c r="J11" s="292">
        <f t="shared" si="7"/>
        <v>16727.11</v>
      </c>
      <c r="K11" s="291">
        <f t="shared" si="8"/>
        <v>1499.1200000000001</v>
      </c>
      <c r="L11" s="292">
        <f t="shared" si="8"/>
        <v>15227.990000000002</v>
      </c>
      <c r="M11" s="286">
        <f t="shared" si="8"/>
        <v>1541.96</v>
      </c>
      <c r="N11" s="286">
        <f t="shared" si="9"/>
        <v>25816.87</v>
      </c>
      <c r="O11" s="292">
        <f>SUM(P11:Q11)</f>
        <v>24447.93</v>
      </c>
      <c r="P11" s="311">
        <f t="shared" si="10"/>
        <v>11567.960000000001</v>
      </c>
      <c r="Q11" s="311">
        <f t="shared" si="10"/>
        <v>12879.970000000001</v>
      </c>
      <c r="R11" s="286">
        <f t="shared" si="11"/>
        <v>12304.900000000001</v>
      </c>
      <c r="S11" s="311">
        <v>10070.53</v>
      </c>
      <c r="T11" s="318">
        <v>2234.37</v>
      </c>
      <c r="U11" s="290">
        <v>1</v>
      </c>
      <c r="V11" s="802">
        <v>1</v>
      </c>
      <c r="W11" s="439" t="s">
        <v>102</v>
      </c>
      <c r="X11" s="340">
        <f>Y11+Z11</f>
        <v>12143.03</v>
      </c>
      <c r="Y11" s="311">
        <v>1497.43</v>
      </c>
      <c r="Z11" s="311">
        <v>10645.6</v>
      </c>
      <c r="AA11" s="318">
        <v>1368.94</v>
      </c>
      <c r="AB11" s="292">
        <f>AC11+AL11</f>
        <v>9455.61</v>
      </c>
      <c r="AC11" s="286">
        <f>AD11+AE11</f>
        <v>9282.59</v>
      </c>
      <c r="AD11" s="286">
        <f aca="true" t="shared" si="13" ref="AD11:AE15">AG11+AJ11</f>
        <v>4666.379999999999</v>
      </c>
      <c r="AE11" s="291">
        <f t="shared" si="13"/>
        <v>4616.21</v>
      </c>
      <c r="AF11" s="835">
        <f>AG11+AH11</f>
        <v>4698.509999999999</v>
      </c>
      <c r="AG11" s="113">
        <v>4664.69</v>
      </c>
      <c r="AH11" s="311">
        <v>33.82</v>
      </c>
      <c r="AI11" s="286">
        <f>AJ11+AK11</f>
        <v>4584.08</v>
      </c>
      <c r="AJ11" s="311">
        <v>1.69</v>
      </c>
      <c r="AK11" s="311">
        <v>4582.39</v>
      </c>
      <c r="AL11" s="286">
        <f>SUM(AM11:AP11)</f>
        <v>173.01999999999998</v>
      </c>
      <c r="AM11" s="311">
        <v>57.93</v>
      </c>
      <c r="AN11" s="311">
        <v>29.79</v>
      </c>
      <c r="AO11" s="311">
        <v>73.61</v>
      </c>
      <c r="AP11" s="539">
        <v>11.69</v>
      </c>
      <c r="AQ11" s="290">
        <v>1</v>
      </c>
    </row>
    <row r="12" spans="1:43" s="294" customFormat="1" ht="18.75" customHeight="1">
      <c r="A12" s="804">
        <v>2</v>
      </c>
      <c r="B12" s="439" t="s">
        <v>103</v>
      </c>
      <c r="C12" s="285">
        <f>+N12+AB12</f>
        <v>36263.14</v>
      </c>
      <c r="D12" s="286">
        <f t="shared" si="3"/>
        <v>33512.56</v>
      </c>
      <c r="E12" s="286">
        <f t="shared" si="4"/>
        <v>17910.47</v>
      </c>
      <c r="F12" s="286">
        <f t="shared" si="4"/>
        <v>15602.09</v>
      </c>
      <c r="G12" s="286">
        <f t="shared" si="5"/>
        <v>9419.6</v>
      </c>
      <c r="H12" s="286">
        <f t="shared" si="6"/>
        <v>8567.08</v>
      </c>
      <c r="I12" s="291">
        <f t="shared" si="6"/>
        <v>852.52</v>
      </c>
      <c r="J12" s="292">
        <f t="shared" si="7"/>
        <v>24092.96</v>
      </c>
      <c r="K12" s="291">
        <f t="shared" si="8"/>
        <v>9343.39</v>
      </c>
      <c r="L12" s="292">
        <f t="shared" si="8"/>
        <v>14749.57</v>
      </c>
      <c r="M12" s="286">
        <f t="shared" si="8"/>
        <v>2750.58</v>
      </c>
      <c r="N12" s="286">
        <f t="shared" si="9"/>
        <v>9208.58</v>
      </c>
      <c r="O12" s="292">
        <f>SUM(P12:Q12)</f>
        <v>8537.13</v>
      </c>
      <c r="P12" s="311">
        <f t="shared" si="10"/>
        <v>4866.0599999999995</v>
      </c>
      <c r="Q12" s="311">
        <f t="shared" si="10"/>
        <v>3671.07</v>
      </c>
      <c r="R12" s="286">
        <f t="shared" si="11"/>
        <v>4532.08</v>
      </c>
      <c r="S12" s="311">
        <v>3685.43</v>
      </c>
      <c r="T12" s="318">
        <v>846.65</v>
      </c>
      <c r="U12" s="290">
        <v>2</v>
      </c>
      <c r="V12" s="802">
        <v>2</v>
      </c>
      <c r="W12" s="439" t="s">
        <v>103</v>
      </c>
      <c r="X12" s="340">
        <f>Y12+Z12</f>
        <v>4005.05</v>
      </c>
      <c r="Y12" s="311">
        <v>1180.63</v>
      </c>
      <c r="Z12" s="311">
        <v>2824.42</v>
      </c>
      <c r="AA12" s="318">
        <v>671.45</v>
      </c>
      <c r="AB12" s="292">
        <f>AC12+AL12</f>
        <v>27054.56</v>
      </c>
      <c r="AC12" s="286">
        <f>AD12+AE12</f>
        <v>24975.43</v>
      </c>
      <c r="AD12" s="286">
        <f t="shared" si="13"/>
        <v>13044.41</v>
      </c>
      <c r="AE12" s="291">
        <f t="shared" si="13"/>
        <v>11931.02</v>
      </c>
      <c r="AF12" s="835">
        <f>AG12+AH12</f>
        <v>4887.5199999999995</v>
      </c>
      <c r="AG12" s="113">
        <v>4881.65</v>
      </c>
      <c r="AH12" s="311">
        <v>5.87</v>
      </c>
      <c r="AI12" s="286">
        <f>AJ12+AK12</f>
        <v>20087.91</v>
      </c>
      <c r="AJ12" s="311">
        <v>8162.76</v>
      </c>
      <c r="AK12" s="311">
        <v>11925.15</v>
      </c>
      <c r="AL12" s="286">
        <f>SUM(AM12:AP12)</f>
        <v>2079.13</v>
      </c>
      <c r="AM12" s="311">
        <v>4.23</v>
      </c>
      <c r="AN12" s="311">
        <v>9.44</v>
      </c>
      <c r="AO12" s="311">
        <v>732.32</v>
      </c>
      <c r="AP12" s="539">
        <v>1333.14</v>
      </c>
      <c r="AQ12" s="290">
        <v>2</v>
      </c>
    </row>
    <row r="13" spans="1:43" s="294" customFormat="1" ht="18.75" customHeight="1">
      <c r="A13" s="804">
        <v>3</v>
      </c>
      <c r="B13" s="439" t="s">
        <v>104</v>
      </c>
      <c r="C13" s="285">
        <f>D13+M13</f>
        <v>7399.820000000001</v>
      </c>
      <c r="D13" s="286">
        <f t="shared" si="3"/>
        <v>7051.18</v>
      </c>
      <c r="E13" s="286">
        <f t="shared" si="4"/>
        <v>4353.650000000001</v>
      </c>
      <c r="F13" s="286">
        <f t="shared" si="4"/>
        <v>2697.53</v>
      </c>
      <c r="G13" s="286">
        <f t="shared" si="5"/>
        <v>4619.780000000001</v>
      </c>
      <c r="H13" s="286">
        <f t="shared" si="6"/>
        <v>4174.14</v>
      </c>
      <c r="I13" s="291">
        <f t="shared" si="6"/>
        <v>445.64</v>
      </c>
      <c r="J13" s="292">
        <f t="shared" si="7"/>
        <v>2431.4000000000005</v>
      </c>
      <c r="K13" s="291">
        <f t="shared" si="8"/>
        <v>179.51000000000002</v>
      </c>
      <c r="L13" s="292">
        <f t="shared" si="8"/>
        <v>2251.8900000000003</v>
      </c>
      <c r="M13" s="286">
        <f t="shared" si="8"/>
        <v>348.64</v>
      </c>
      <c r="N13" s="286">
        <f t="shared" si="9"/>
        <v>4410.92</v>
      </c>
      <c r="O13" s="292">
        <f>SUM(P13:Q13)</f>
        <v>4090.79</v>
      </c>
      <c r="P13" s="311">
        <f t="shared" si="10"/>
        <v>2377.77</v>
      </c>
      <c r="Q13" s="311">
        <f t="shared" si="10"/>
        <v>1713.02</v>
      </c>
      <c r="R13" s="286">
        <f t="shared" si="11"/>
        <v>2619.87</v>
      </c>
      <c r="S13" s="311">
        <v>2224.25</v>
      </c>
      <c r="T13" s="318">
        <v>395.62</v>
      </c>
      <c r="U13" s="290">
        <v>3</v>
      </c>
      <c r="V13" s="802">
        <v>3</v>
      </c>
      <c r="W13" s="439" t="s">
        <v>104</v>
      </c>
      <c r="X13" s="340">
        <f>Y13+Z13</f>
        <v>1470.92</v>
      </c>
      <c r="Y13" s="311">
        <v>153.52</v>
      </c>
      <c r="Z13" s="311">
        <v>1317.4</v>
      </c>
      <c r="AA13" s="318">
        <v>320.13</v>
      </c>
      <c r="AB13" s="292">
        <f>AC13+AL13</f>
        <v>2988.9000000000005</v>
      </c>
      <c r="AC13" s="286">
        <f>AD13+AE13</f>
        <v>2960.3900000000003</v>
      </c>
      <c r="AD13" s="286">
        <f t="shared" si="13"/>
        <v>1975.88</v>
      </c>
      <c r="AE13" s="291">
        <f t="shared" si="13"/>
        <v>984.51</v>
      </c>
      <c r="AF13" s="835">
        <f>AG13+AH13</f>
        <v>1999.91</v>
      </c>
      <c r="AG13" s="113">
        <v>1949.89</v>
      </c>
      <c r="AH13" s="311">
        <v>50.02</v>
      </c>
      <c r="AI13" s="286">
        <f>AJ13+AK13</f>
        <v>960.48</v>
      </c>
      <c r="AJ13" s="311">
        <v>25.99</v>
      </c>
      <c r="AK13" s="311">
        <v>934.49</v>
      </c>
      <c r="AL13" s="286">
        <f>SUM(AM13:AP13)</f>
        <v>28.509999999999994</v>
      </c>
      <c r="AM13" s="311">
        <v>9.95</v>
      </c>
      <c r="AN13" s="311">
        <v>1.26</v>
      </c>
      <c r="AO13" s="311">
        <v>17.24</v>
      </c>
      <c r="AP13" s="539">
        <v>0.06</v>
      </c>
      <c r="AQ13" s="290">
        <v>3</v>
      </c>
    </row>
    <row r="14" spans="1:43" s="294" customFormat="1" ht="18.75" customHeight="1">
      <c r="A14" s="804">
        <v>4</v>
      </c>
      <c r="B14" s="439" t="s">
        <v>105</v>
      </c>
      <c r="C14" s="285">
        <f>D14+M14</f>
        <v>2623.86</v>
      </c>
      <c r="D14" s="286">
        <f t="shared" si="3"/>
        <v>2525.08</v>
      </c>
      <c r="E14" s="286">
        <f t="shared" si="4"/>
        <v>1757.83</v>
      </c>
      <c r="F14" s="286">
        <f t="shared" si="4"/>
        <v>767.25</v>
      </c>
      <c r="G14" s="286">
        <f t="shared" si="5"/>
        <v>1916.43</v>
      </c>
      <c r="H14" s="286">
        <f t="shared" si="6"/>
        <v>1751.47</v>
      </c>
      <c r="I14" s="291">
        <f t="shared" si="6"/>
        <v>164.95999999999998</v>
      </c>
      <c r="J14" s="292">
        <f t="shared" si="7"/>
        <v>608.65</v>
      </c>
      <c r="K14" s="291">
        <f t="shared" si="8"/>
        <v>6.36</v>
      </c>
      <c r="L14" s="292">
        <f t="shared" si="8"/>
        <v>602.29</v>
      </c>
      <c r="M14" s="286">
        <f t="shared" si="8"/>
        <v>98.78</v>
      </c>
      <c r="N14" s="286">
        <f t="shared" si="9"/>
        <v>1185.46</v>
      </c>
      <c r="O14" s="292">
        <f>SUM(P14:Q14)</f>
        <v>1124</v>
      </c>
      <c r="P14" s="311">
        <f t="shared" si="10"/>
        <v>931.44</v>
      </c>
      <c r="Q14" s="311">
        <f t="shared" si="10"/>
        <v>192.56</v>
      </c>
      <c r="R14" s="286">
        <f t="shared" si="11"/>
        <v>1065.15</v>
      </c>
      <c r="S14" s="311">
        <v>926.33</v>
      </c>
      <c r="T14" s="318">
        <v>138.82</v>
      </c>
      <c r="U14" s="290">
        <v>4</v>
      </c>
      <c r="V14" s="802">
        <v>4</v>
      </c>
      <c r="W14" s="439" t="s">
        <v>105</v>
      </c>
      <c r="X14" s="340">
        <f>Y14+Z14</f>
        <v>58.85</v>
      </c>
      <c r="Y14" s="311">
        <v>5.11</v>
      </c>
      <c r="Z14" s="311">
        <v>53.74</v>
      </c>
      <c r="AA14" s="318">
        <v>61.46</v>
      </c>
      <c r="AB14" s="292">
        <f>AC14+AL14</f>
        <v>1438.3999999999999</v>
      </c>
      <c r="AC14" s="286">
        <f>AD14+AE14</f>
        <v>1401.08</v>
      </c>
      <c r="AD14" s="286">
        <f t="shared" si="13"/>
        <v>826.39</v>
      </c>
      <c r="AE14" s="291">
        <f t="shared" si="13"/>
        <v>574.6899999999999</v>
      </c>
      <c r="AF14" s="835">
        <f>AG14+AH14</f>
        <v>851.28</v>
      </c>
      <c r="AG14" s="113">
        <v>825.14</v>
      </c>
      <c r="AH14" s="311">
        <v>26.14</v>
      </c>
      <c r="AI14" s="286">
        <f>AJ14+AK14</f>
        <v>549.8</v>
      </c>
      <c r="AJ14" s="311">
        <v>1.25</v>
      </c>
      <c r="AK14" s="311">
        <v>548.55</v>
      </c>
      <c r="AL14" s="286">
        <f>SUM(AM14:AP14)</f>
        <v>37.32</v>
      </c>
      <c r="AM14" s="311">
        <v>24.73</v>
      </c>
      <c r="AN14" s="311">
        <v>2.7</v>
      </c>
      <c r="AO14" s="311">
        <v>9.67</v>
      </c>
      <c r="AP14" s="539">
        <v>0.22</v>
      </c>
      <c r="AQ14" s="290">
        <v>4</v>
      </c>
    </row>
    <row r="15" spans="1:43" s="294" customFormat="1" ht="18.75" customHeight="1" thickBot="1">
      <c r="A15" s="804">
        <v>5</v>
      </c>
      <c r="B15" s="439" t="s">
        <v>180</v>
      </c>
      <c r="C15" s="285">
        <f>D15+M15</f>
        <v>70187.27</v>
      </c>
      <c r="D15" s="286">
        <f t="shared" si="3"/>
        <v>60951.350000000006</v>
      </c>
      <c r="E15" s="286">
        <f>H15+K15</f>
        <v>19895.55</v>
      </c>
      <c r="F15" s="286">
        <f>I15+L15</f>
        <v>41055.8</v>
      </c>
      <c r="G15" s="286">
        <f t="shared" si="5"/>
        <v>12894.07</v>
      </c>
      <c r="H15" s="286">
        <f>S15+AG15</f>
        <v>12167.92</v>
      </c>
      <c r="I15" s="291">
        <f>T15+AH15</f>
        <v>726.15</v>
      </c>
      <c r="J15" s="292">
        <f t="shared" si="7"/>
        <v>48057.28</v>
      </c>
      <c r="K15" s="291">
        <f>Y15+AJ15</f>
        <v>7727.63</v>
      </c>
      <c r="L15" s="292">
        <f>Z15+AK15</f>
        <v>40329.65</v>
      </c>
      <c r="M15" s="286">
        <f>AA15+AL15</f>
        <v>9235.92</v>
      </c>
      <c r="N15" s="286">
        <f t="shared" si="9"/>
        <v>56867.12</v>
      </c>
      <c r="O15" s="292">
        <f>SUM(P15:Q15)</f>
        <v>47853.01</v>
      </c>
      <c r="P15" s="311">
        <f t="shared" si="10"/>
        <v>15410.37</v>
      </c>
      <c r="Q15" s="311">
        <f t="shared" si="10"/>
        <v>32442.64</v>
      </c>
      <c r="R15" s="286">
        <f t="shared" si="11"/>
        <v>8463.37</v>
      </c>
      <c r="S15" s="311">
        <v>7764.02</v>
      </c>
      <c r="T15" s="318">
        <v>699.35</v>
      </c>
      <c r="U15" s="290">
        <v>5</v>
      </c>
      <c r="V15" s="802">
        <v>5</v>
      </c>
      <c r="W15" s="439" t="s">
        <v>180</v>
      </c>
      <c r="X15" s="340">
        <f>Y15+Z15</f>
        <v>39389.64</v>
      </c>
      <c r="Y15" s="311">
        <v>7646.35</v>
      </c>
      <c r="Z15" s="311">
        <v>31743.29</v>
      </c>
      <c r="AA15" s="318">
        <v>9014.11</v>
      </c>
      <c r="AB15" s="292">
        <f>AC15+AL15</f>
        <v>13320.15</v>
      </c>
      <c r="AC15" s="286">
        <f>AD15+AE15</f>
        <v>13098.34</v>
      </c>
      <c r="AD15" s="286">
        <f t="shared" si="13"/>
        <v>4485.179999999999</v>
      </c>
      <c r="AE15" s="291">
        <f t="shared" si="13"/>
        <v>8613.16</v>
      </c>
      <c r="AF15" s="835">
        <f>AG15+AH15</f>
        <v>4430.7</v>
      </c>
      <c r="AG15" s="113">
        <v>4403.9</v>
      </c>
      <c r="AH15" s="311">
        <v>26.8</v>
      </c>
      <c r="AI15" s="286">
        <f>AJ15+AK15</f>
        <v>8667.640000000001</v>
      </c>
      <c r="AJ15" s="311">
        <v>81.28</v>
      </c>
      <c r="AK15" s="311">
        <v>8586.36</v>
      </c>
      <c r="AL15" s="286">
        <f>SUM(AM15:AP15)</f>
        <v>221.81000000000003</v>
      </c>
      <c r="AM15" s="311">
        <v>116.84</v>
      </c>
      <c r="AN15" s="311">
        <v>16.39</v>
      </c>
      <c r="AO15" s="311">
        <v>83.28</v>
      </c>
      <c r="AP15" s="539">
        <v>5.3</v>
      </c>
      <c r="AQ15" s="290">
        <v>5</v>
      </c>
    </row>
    <row r="16" spans="1:43" s="310" customFormat="1" ht="24.75" customHeight="1">
      <c r="A16" s="982" t="s">
        <v>85</v>
      </c>
      <c r="B16" s="926"/>
      <c r="C16" s="312">
        <f>+N16+AB16</f>
        <v>102057.87</v>
      </c>
      <c r="D16" s="313">
        <f aca="true" t="shared" si="14" ref="D16:T16">D17</f>
        <v>94366.84</v>
      </c>
      <c r="E16" s="313">
        <f t="shared" si="14"/>
        <v>47918.240000000005</v>
      </c>
      <c r="F16" s="313">
        <f t="shared" si="14"/>
        <v>46448.6</v>
      </c>
      <c r="G16" s="313">
        <f t="shared" si="14"/>
        <v>43479.590000000004</v>
      </c>
      <c r="H16" s="313">
        <f t="shared" si="14"/>
        <v>39725.94</v>
      </c>
      <c r="I16" s="314">
        <f t="shared" si="14"/>
        <v>3753.65</v>
      </c>
      <c r="J16" s="315">
        <f t="shared" si="14"/>
        <v>50887.25</v>
      </c>
      <c r="K16" s="314">
        <f t="shared" si="14"/>
        <v>8192.3</v>
      </c>
      <c r="L16" s="315">
        <f t="shared" si="14"/>
        <v>42694.95</v>
      </c>
      <c r="M16" s="816">
        <f t="shared" si="14"/>
        <v>7691.029999999999</v>
      </c>
      <c r="N16" s="305">
        <f t="shared" si="14"/>
        <v>57993.369999999995</v>
      </c>
      <c r="O16" s="315">
        <f t="shared" si="14"/>
        <v>52579.06999999999</v>
      </c>
      <c r="P16" s="313">
        <f t="shared" si="14"/>
        <v>26585.159999999996</v>
      </c>
      <c r="Q16" s="313">
        <f t="shared" si="14"/>
        <v>25993.91</v>
      </c>
      <c r="R16" s="313">
        <f t="shared" si="14"/>
        <v>22277.6</v>
      </c>
      <c r="S16" s="313">
        <f t="shared" si="14"/>
        <v>18756.76</v>
      </c>
      <c r="T16" s="336">
        <f t="shared" si="14"/>
        <v>3520.84</v>
      </c>
      <c r="U16" s="316"/>
      <c r="V16" s="925" t="s">
        <v>85</v>
      </c>
      <c r="W16" s="926"/>
      <c r="X16" s="312">
        <f aca="true" t="shared" si="15" ref="X16:AP16">X17</f>
        <v>30301.47</v>
      </c>
      <c r="Y16" s="313">
        <f t="shared" si="15"/>
        <v>7828.4</v>
      </c>
      <c r="Z16" s="313">
        <f t="shared" si="15"/>
        <v>22473.07</v>
      </c>
      <c r="AA16" s="336">
        <f t="shared" si="15"/>
        <v>5414.299999999999</v>
      </c>
      <c r="AB16" s="312">
        <f t="shared" si="15"/>
        <v>44064.5</v>
      </c>
      <c r="AC16" s="313">
        <f t="shared" si="15"/>
        <v>41787.770000000004</v>
      </c>
      <c r="AD16" s="313">
        <f t="shared" si="15"/>
        <v>21333.08</v>
      </c>
      <c r="AE16" s="314">
        <f t="shared" si="15"/>
        <v>20454.69</v>
      </c>
      <c r="AF16" s="806">
        <f t="shared" si="15"/>
        <v>21201.99</v>
      </c>
      <c r="AG16" s="315">
        <f t="shared" si="15"/>
        <v>20969.18</v>
      </c>
      <c r="AH16" s="313">
        <f t="shared" si="15"/>
        <v>232.81</v>
      </c>
      <c r="AI16" s="313">
        <f t="shared" si="15"/>
        <v>20585.78</v>
      </c>
      <c r="AJ16" s="313">
        <f t="shared" si="15"/>
        <v>363.90000000000003</v>
      </c>
      <c r="AK16" s="313">
        <f t="shared" si="15"/>
        <v>20221.88</v>
      </c>
      <c r="AL16" s="305">
        <f t="shared" si="15"/>
        <v>2276.73</v>
      </c>
      <c r="AM16" s="305">
        <f t="shared" si="15"/>
        <v>198.62</v>
      </c>
      <c r="AN16" s="305">
        <f t="shared" si="15"/>
        <v>155.01000000000002</v>
      </c>
      <c r="AO16" s="305">
        <f t="shared" si="15"/>
        <v>421.5</v>
      </c>
      <c r="AP16" s="309">
        <f t="shared" si="15"/>
        <v>1501.6000000000001</v>
      </c>
      <c r="AQ16" s="316"/>
    </row>
    <row r="17" spans="1:43" s="303" customFormat="1" ht="18.75" customHeight="1">
      <c r="A17" s="977" t="s">
        <v>185</v>
      </c>
      <c r="B17" s="928"/>
      <c r="C17" s="295">
        <f>SUM(C18:C23)</f>
        <v>102057.87</v>
      </c>
      <c r="D17" s="296">
        <f aca="true" t="shared" si="16" ref="D17:D22">E17+F17</f>
        <v>94366.84</v>
      </c>
      <c r="E17" s="296">
        <f aca="true" t="shared" si="17" ref="E17:E22">H17+K17</f>
        <v>47918.240000000005</v>
      </c>
      <c r="F17" s="296">
        <f aca="true" t="shared" si="18" ref="F17:F22">I17+L17</f>
        <v>46448.6</v>
      </c>
      <c r="G17" s="296">
        <f aca="true" t="shared" si="19" ref="G17:G22">H17+I17</f>
        <v>43479.590000000004</v>
      </c>
      <c r="H17" s="296">
        <f aca="true" t="shared" si="20" ref="H17:H22">S17+AG17</f>
        <v>39725.94</v>
      </c>
      <c r="I17" s="297">
        <f aca="true" t="shared" si="21" ref="I17:I22">T17+AH17</f>
        <v>3753.65</v>
      </c>
      <c r="J17" s="298">
        <f aca="true" t="shared" si="22" ref="J17:J22">K17+L17</f>
        <v>50887.25</v>
      </c>
      <c r="K17" s="297">
        <f aca="true" t="shared" si="23" ref="K17:K22">Y17+AJ17</f>
        <v>8192.3</v>
      </c>
      <c r="L17" s="298">
        <f aca="true" t="shared" si="24" ref="L17:L22">Z17+AK17</f>
        <v>42694.95</v>
      </c>
      <c r="M17" s="296">
        <f aca="true" t="shared" si="25" ref="M17:M22">AA17+AL17</f>
        <v>7691.029999999999</v>
      </c>
      <c r="N17" s="296">
        <f aca="true" t="shared" si="26" ref="N17:N22">O17+AA17</f>
        <v>57993.369999999995</v>
      </c>
      <c r="O17" s="298">
        <f aca="true" t="shared" si="27" ref="O17:O22">P17+Q17</f>
        <v>52579.06999999999</v>
      </c>
      <c r="P17" s="296">
        <f aca="true" t="shared" si="28" ref="P17:Q22">S17+Y17</f>
        <v>26585.159999999996</v>
      </c>
      <c r="Q17" s="296">
        <f t="shared" si="28"/>
        <v>25993.91</v>
      </c>
      <c r="R17" s="296">
        <f aca="true" t="shared" si="29" ref="R17:R22">S17+T17</f>
        <v>22277.6</v>
      </c>
      <c r="S17" s="296">
        <f>SUM(S18:S23)</f>
        <v>18756.76</v>
      </c>
      <c r="T17" s="301">
        <f>SUM(T18:T23)</f>
        <v>3520.84</v>
      </c>
      <c r="U17" s="317"/>
      <c r="V17" s="927" t="s">
        <v>185</v>
      </c>
      <c r="W17" s="928"/>
      <c r="X17" s="341">
        <f aca="true" t="shared" si="30" ref="X17:X22">Y17+Z17</f>
        <v>30301.47</v>
      </c>
      <c r="Y17" s="296">
        <f>SUM(Y18:Y23)</f>
        <v>7828.4</v>
      </c>
      <c r="Z17" s="296">
        <f>SUM(Z18:Z23)</f>
        <v>22473.07</v>
      </c>
      <c r="AA17" s="301">
        <f>SUM(AA18:AA23)</f>
        <v>5414.299999999999</v>
      </c>
      <c r="AB17" s="298">
        <f aca="true" t="shared" si="31" ref="AB17:AO17">SUM(AB18:AB23)</f>
        <v>44064.5</v>
      </c>
      <c r="AC17" s="296">
        <f t="shared" si="31"/>
        <v>41787.770000000004</v>
      </c>
      <c r="AD17" s="296">
        <f t="shared" si="31"/>
        <v>21333.08</v>
      </c>
      <c r="AE17" s="297">
        <f t="shared" si="31"/>
        <v>20454.69</v>
      </c>
      <c r="AF17" s="475">
        <f t="shared" si="31"/>
        <v>21201.99</v>
      </c>
      <c r="AG17" s="298">
        <f t="shared" si="31"/>
        <v>20969.18</v>
      </c>
      <c r="AH17" s="296">
        <f t="shared" si="31"/>
        <v>232.81</v>
      </c>
      <c r="AI17" s="296">
        <f t="shared" si="31"/>
        <v>20585.78</v>
      </c>
      <c r="AJ17" s="296">
        <f t="shared" si="31"/>
        <v>363.90000000000003</v>
      </c>
      <c r="AK17" s="296">
        <f t="shared" si="31"/>
        <v>20221.88</v>
      </c>
      <c r="AL17" s="296">
        <f t="shared" si="31"/>
        <v>2276.73</v>
      </c>
      <c r="AM17" s="296">
        <f t="shared" si="31"/>
        <v>198.62</v>
      </c>
      <c r="AN17" s="296">
        <f t="shared" si="31"/>
        <v>155.01000000000002</v>
      </c>
      <c r="AO17" s="296">
        <f t="shared" si="31"/>
        <v>421.5</v>
      </c>
      <c r="AP17" s="299">
        <f>SUM(AP18:AP23)</f>
        <v>1501.6000000000001</v>
      </c>
      <c r="AQ17" s="317"/>
    </row>
    <row r="18" spans="1:43" s="294" customFormat="1" ht="18.75" customHeight="1">
      <c r="A18" s="804">
        <v>6</v>
      </c>
      <c r="B18" s="440" t="s">
        <v>106</v>
      </c>
      <c r="C18" s="285">
        <f aca="true" t="shared" si="32" ref="C18:C23">D18+M18</f>
        <v>38170.97</v>
      </c>
      <c r="D18" s="286">
        <f t="shared" si="16"/>
        <v>35949.91</v>
      </c>
      <c r="E18" s="286">
        <f t="shared" si="17"/>
        <v>17304.92</v>
      </c>
      <c r="F18" s="286">
        <f t="shared" si="18"/>
        <v>18644.99</v>
      </c>
      <c r="G18" s="286">
        <f t="shared" si="19"/>
        <v>15036.82</v>
      </c>
      <c r="H18" s="286">
        <f t="shared" si="20"/>
        <v>13271.869999999999</v>
      </c>
      <c r="I18" s="291">
        <f t="shared" si="21"/>
        <v>1764.95</v>
      </c>
      <c r="J18" s="292">
        <f t="shared" si="22"/>
        <v>20913.09</v>
      </c>
      <c r="K18" s="291">
        <f t="shared" si="23"/>
        <v>4033.0499999999997</v>
      </c>
      <c r="L18" s="292">
        <f t="shared" si="24"/>
        <v>16880.04</v>
      </c>
      <c r="M18" s="286">
        <f t="shared" si="25"/>
        <v>2221.06</v>
      </c>
      <c r="N18" s="286">
        <f t="shared" si="26"/>
        <v>30104.389999999996</v>
      </c>
      <c r="O18" s="292">
        <f>P18+Q18</f>
        <v>28010.609999999997</v>
      </c>
      <c r="P18" s="311">
        <f>S18+Y18</f>
        <v>12727.899999999998</v>
      </c>
      <c r="Q18" s="311">
        <f>T18+Z18</f>
        <v>15282.71</v>
      </c>
      <c r="R18" s="286">
        <f>S18+T18</f>
        <v>10435.489999999998</v>
      </c>
      <c r="S18" s="311">
        <f>4590.78+4108</f>
        <v>8698.779999999999</v>
      </c>
      <c r="T18" s="318">
        <f>957.71+779</f>
        <v>1736.71</v>
      </c>
      <c r="U18" s="277">
        <v>6</v>
      </c>
      <c r="V18" s="802">
        <v>6</v>
      </c>
      <c r="W18" s="440" t="s">
        <v>106</v>
      </c>
      <c r="X18" s="340">
        <f t="shared" si="30"/>
        <v>17575.12</v>
      </c>
      <c r="Y18" s="311">
        <f>554.12+3475</f>
        <v>4029.12</v>
      </c>
      <c r="Z18" s="311">
        <f>6479+7067</f>
        <v>13546</v>
      </c>
      <c r="AA18" s="318">
        <f>727.78+1366</f>
        <v>2093.7799999999997</v>
      </c>
      <c r="AB18" s="292">
        <f aca="true" t="shared" si="33" ref="AB18:AB23">AC18+AL18</f>
        <v>8066.58</v>
      </c>
      <c r="AC18" s="286">
        <f aca="true" t="shared" si="34" ref="AC18:AC23">AD18+AE18</f>
        <v>7939.3</v>
      </c>
      <c r="AD18" s="286">
        <f aca="true" t="shared" si="35" ref="AD18:AE23">AG18+AJ18</f>
        <v>4577.02</v>
      </c>
      <c r="AE18" s="291">
        <f t="shared" si="35"/>
        <v>3362.2799999999997</v>
      </c>
      <c r="AF18" s="835">
        <f aca="true" t="shared" si="36" ref="AF18:AF23">AG18+AH18</f>
        <v>4601.33</v>
      </c>
      <c r="AG18" s="113">
        <f>3884.09+689</f>
        <v>4573.09</v>
      </c>
      <c r="AH18" s="311">
        <f>25.24+3</f>
        <v>28.24</v>
      </c>
      <c r="AI18" s="286">
        <f aca="true" t="shared" si="37" ref="AI18:AI23">AJ18+AK18</f>
        <v>3337.97</v>
      </c>
      <c r="AJ18" s="311">
        <f>1.93+2</f>
        <v>3.9299999999999997</v>
      </c>
      <c r="AK18" s="311">
        <f>2179.04+1155</f>
        <v>3334.04</v>
      </c>
      <c r="AL18" s="286">
        <f aca="true" t="shared" si="38" ref="AL18:AL23">SUM(AM18:AP18)</f>
        <v>127.28</v>
      </c>
      <c r="AM18" s="311">
        <f>63.5+4</f>
        <v>67.5</v>
      </c>
      <c r="AN18" s="311">
        <f>10.15+25</f>
        <v>35.15</v>
      </c>
      <c r="AO18" s="311">
        <f>11.63+13</f>
        <v>24.630000000000003</v>
      </c>
      <c r="AP18" s="539">
        <v>0</v>
      </c>
      <c r="AQ18" s="277">
        <v>6</v>
      </c>
    </row>
    <row r="19" spans="1:43" s="294" customFormat="1" ht="18.75" customHeight="1">
      <c r="A19" s="804">
        <v>7</v>
      </c>
      <c r="B19" s="440" t="s">
        <v>107</v>
      </c>
      <c r="C19" s="285">
        <f t="shared" si="32"/>
        <v>9686.45</v>
      </c>
      <c r="D19" s="286">
        <f t="shared" si="16"/>
        <v>9499.34</v>
      </c>
      <c r="E19" s="286">
        <f t="shared" si="17"/>
        <v>3665.8</v>
      </c>
      <c r="F19" s="286">
        <f t="shared" si="18"/>
        <v>5833.54</v>
      </c>
      <c r="G19" s="286">
        <f t="shared" si="19"/>
        <v>3701.43</v>
      </c>
      <c r="H19" s="286">
        <f t="shared" si="20"/>
        <v>3601.48</v>
      </c>
      <c r="I19" s="291">
        <f t="shared" si="21"/>
        <v>99.95</v>
      </c>
      <c r="J19" s="292">
        <f t="shared" si="22"/>
        <v>5797.91</v>
      </c>
      <c r="K19" s="291">
        <f t="shared" si="23"/>
        <v>64.32</v>
      </c>
      <c r="L19" s="292">
        <f t="shared" si="24"/>
        <v>5733.59</v>
      </c>
      <c r="M19" s="286">
        <f t="shared" si="25"/>
        <v>187.11</v>
      </c>
      <c r="N19" s="286">
        <f t="shared" si="26"/>
        <v>2349.23</v>
      </c>
      <c r="O19" s="292">
        <f t="shared" si="27"/>
        <v>2256.84</v>
      </c>
      <c r="P19" s="311">
        <f t="shared" si="28"/>
        <v>711.16</v>
      </c>
      <c r="Q19" s="311">
        <f t="shared" si="28"/>
        <v>1545.68</v>
      </c>
      <c r="R19" s="286">
        <f t="shared" si="29"/>
        <v>701.6999999999999</v>
      </c>
      <c r="S19" s="311">
        <v>646.92</v>
      </c>
      <c r="T19" s="318">
        <v>54.78</v>
      </c>
      <c r="U19" s="277">
        <v>7</v>
      </c>
      <c r="V19" s="802">
        <v>7</v>
      </c>
      <c r="W19" s="440" t="s">
        <v>107</v>
      </c>
      <c r="X19" s="340">
        <f t="shared" si="30"/>
        <v>1555.14</v>
      </c>
      <c r="Y19" s="311">
        <v>64.24</v>
      </c>
      <c r="Z19" s="311">
        <v>1490.9</v>
      </c>
      <c r="AA19" s="318">
        <v>92.39</v>
      </c>
      <c r="AB19" s="292">
        <f t="shared" si="33"/>
        <v>7337.22</v>
      </c>
      <c r="AC19" s="286">
        <f t="shared" si="34"/>
        <v>7242.5</v>
      </c>
      <c r="AD19" s="286">
        <f t="shared" si="35"/>
        <v>2954.64</v>
      </c>
      <c r="AE19" s="291">
        <f t="shared" si="35"/>
        <v>4287.86</v>
      </c>
      <c r="AF19" s="835">
        <f t="shared" si="36"/>
        <v>2999.73</v>
      </c>
      <c r="AG19" s="113">
        <v>2954.56</v>
      </c>
      <c r="AH19" s="311">
        <v>45.17</v>
      </c>
      <c r="AI19" s="286">
        <f t="shared" si="37"/>
        <v>4242.7699999999995</v>
      </c>
      <c r="AJ19" s="311">
        <v>0.08</v>
      </c>
      <c r="AK19" s="311">
        <v>4242.69</v>
      </c>
      <c r="AL19" s="286">
        <f t="shared" si="38"/>
        <v>94.72</v>
      </c>
      <c r="AM19" s="311">
        <v>18.74</v>
      </c>
      <c r="AN19" s="311">
        <v>23.07</v>
      </c>
      <c r="AO19" s="311">
        <v>47.73</v>
      </c>
      <c r="AP19" s="318">
        <v>5.18</v>
      </c>
      <c r="AQ19" s="277">
        <v>7</v>
      </c>
    </row>
    <row r="20" spans="1:43" s="294" customFormat="1" ht="18.75" customHeight="1">
      <c r="A20" s="804">
        <v>8</v>
      </c>
      <c r="B20" s="440" t="s">
        <v>108</v>
      </c>
      <c r="C20" s="285">
        <f t="shared" si="32"/>
        <v>25764.29</v>
      </c>
      <c r="D20" s="286">
        <f t="shared" si="16"/>
        <v>22047.43</v>
      </c>
      <c r="E20" s="286">
        <f t="shared" si="17"/>
        <v>10803.32</v>
      </c>
      <c r="F20" s="286">
        <f t="shared" si="18"/>
        <v>11244.109999999999</v>
      </c>
      <c r="G20" s="286">
        <f t="shared" si="19"/>
        <v>8078.69</v>
      </c>
      <c r="H20" s="286">
        <f t="shared" si="20"/>
        <v>7477.3099999999995</v>
      </c>
      <c r="I20" s="291">
        <f t="shared" si="21"/>
        <v>601.38</v>
      </c>
      <c r="J20" s="292">
        <f t="shared" si="22"/>
        <v>13968.74</v>
      </c>
      <c r="K20" s="291">
        <f t="shared" si="23"/>
        <v>3326.01</v>
      </c>
      <c r="L20" s="292">
        <f t="shared" si="24"/>
        <v>10642.73</v>
      </c>
      <c r="M20" s="286">
        <f t="shared" si="25"/>
        <v>3716.86</v>
      </c>
      <c r="N20" s="286">
        <f t="shared" si="26"/>
        <v>14344.119999999999</v>
      </c>
      <c r="O20" s="292">
        <f t="shared" si="27"/>
        <v>12417.349999999999</v>
      </c>
      <c r="P20" s="311">
        <f t="shared" si="28"/>
        <v>7127.719999999999</v>
      </c>
      <c r="Q20" s="311">
        <f t="shared" si="28"/>
        <v>5289.63</v>
      </c>
      <c r="R20" s="286">
        <f t="shared" si="29"/>
        <v>4749.7</v>
      </c>
      <c r="S20" s="311">
        <v>4158.95</v>
      </c>
      <c r="T20" s="318">
        <v>590.75</v>
      </c>
      <c r="U20" s="277">
        <v>8</v>
      </c>
      <c r="V20" s="802">
        <v>8</v>
      </c>
      <c r="W20" s="440" t="s">
        <v>108</v>
      </c>
      <c r="X20" s="340">
        <f t="shared" si="30"/>
        <v>7667.65</v>
      </c>
      <c r="Y20" s="311">
        <v>2968.77</v>
      </c>
      <c r="Z20" s="311">
        <v>4698.88</v>
      </c>
      <c r="AA20" s="318">
        <v>1926.77</v>
      </c>
      <c r="AB20" s="292">
        <f t="shared" si="33"/>
        <v>11420.170000000002</v>
      </c>
      <c r="AC20" s="286">
        <f t="shared" si="34"/>
        <v>9630.080000000002</v>
      </c>
      <c r="AD20" s="286">
        <f t="shared" si="35"/>
        <v>3675.6000000000004</v>
      </c>
      <c r="AE20" s="291">
        <f t="shared" si="35"/>
        <v>5954.4800000000005</v>
      </c>
      <c r="AF20" s="835">
        <f t="shared" si="36"/>
        <v>3328.9900000000002</v>
      </c>
      <c r="AG20" s="113">
        <v>3318.36</v>
      </c>
      <c r="AH20" s="311">
        <v>10.629999999999999</v>
      </c>
      <c r="AI20" s="286">
        <f t="shared" si="37"/>
        <v>6301.09</v>
      </c>
      <c r="AJ20" s="311">
        <v>357.24</v>
      </c>
      <c r="AK20" s="311">
        <v>5943.85</v>
      </c>
      <c r="AL20" s="286">
        <f t="shared" si="38"/>
        <v>1790.0900000000001</v>
      </c>
      <c r="AM20" s="311">
        <v>0.17</v>
      </c>
      <c r="AN20" s="311">
        <v>23.34</v>
      </c>
      <c r="AO20" s="311">
        <v>270.68</v>
      </c>
      <c r="AP20" s="318">
        <v>1495.9</v>
      </c>
      <c r="AQ20" s="277">
        <v>8</v>
      </c>
    </row>
    <row r="21" spans="1:43" s="294" customFormat="1" ht="18.75" customHeight="1">
      <c r="A21" s="804">
        <v>9</v>
      </c>
      <c r="B21" s="440" t="s">
        <v>109</v>
      </c>
      <c r="C21" s="285">
        <f t="shared" si="32"/>
        <v>3872.92</v>
      </c>
      <c r="D21" s="286">
        <f t="shared" si="16"/>
        <v>2925.31</v>
      </c>
      <c r="E21" s="286">
        <f t="shared" si="17"/>
        <v>1485.99</v>
      </c>
      <c r="F21" s="286">
        <f t="shared" si="18"/>
        <v>1439.32</v>
      </c>
      <c r="G21" s="286">
        <f t="shared" si="19"/>
        <v>948.82</v>
      </c>
      <c r="H21" s="286">
        <f t="shared" si="20"/>
        <v>848.98</v>
      </c>
      <c r="I21" s="291">
        <f t="shared" si="21"/>
        <v>99.84</v>
      </c>
      <c r="J21" s="292">
        <f t="shared" si="22"/>
        <v>1976.49</v>
      </c>
      <c r="K21" s="291">
        <f t="shared" si="23"/>
        <v>637.01</v>
      </c>
      <c r="L21" s="292">
        <f t="shared" si="24"/>
        <v>1339.48</v>
      </c>
      <c r="M21" s="286">
        <f t="shared" si="25"/>
        <v>947.61</v>
      </c>
      <c r="N21" s="286">
        <f t="shared" si="26"/>
        <v>3501.7</v>
      </c>
      <c r="O21" s="292">
        <f t="shared" si="27"/>
        <v>2559.91</v>
      </c>
      <c r="P21" s="311">
        <f t="shared" si="28"/>
        <v>1425.24</v>
      </c>
      <c r="Q21" s="311">
        <f t="shared" si="28"/>
        <v>1134.6699999999998</v>
      </c>
      <c r="R21" s="286">
        <f t="shared" si="29"/>
        <v>889.3199999999999</v>
      </c>
      <c r="S21" s="311">
        <v>789.77</v>
      </c>
      <c r="T21" s="318">
        <v>99.55</v>
      </c>
      <c r="U21" s="277">
        <v>9</v>
      </c>
      <c r="V21" s="802">
        <v>9</v>
      </c>
      <c r="W21" s="440" t="s">
        <v>109</v>
      </c>
      <c r="X21" s="340">
        <f t="shared" si="30"/>
        <v>1670.59</v>
      </c>
      <c r="Y21" s="311">
        <v>635.47</v>
      </c>
      <c r="Z21" s="311">
        <v>1035.12</v>
      </c>
      <c r="AA21" s="318">
        <v>941.79</v>
      </c>
      <c r="AB21" s="292">
        <f t="shared" si="33"/>
        <v>371.22</v>
      </c>
      <c r="AC21" s="286">
        <f t="shared" si="34"/>
        <v>365.40000000000003</v>
      </c>
      <c r="AD21" s="286">
        <f t="shared" si="35"/>
        <v>60.75</v>
      </c>
      <c r="AE21" s="291">
        <f t="shared" si="35"/>
        <v>304.65000000000003</v>
      </c>
      <c r="AF21" s="835">
        <f t="shared" si="36"/>
        <v>59.5</v>
      </c>
      <c r="AG21" s="113">
        <v>59.21</v>
      </c>
      <c r="AH21" s="311">
        <v>0.29000000000000004</v>
      </c>
      <c r="AI21" s="286">
        <f t="shared" si="37"/>
        <v>305.90000000000003</v>
      </c>
      <c r="AJ21" s="311">
        <v>1.54</v>
      </c>
      <c r="AK21" s="311">
        <v>304.36</v>
      </c>
      <c r="AL21" s="286">
        <f t="shared" si="38"/>
        <v>5.82</v>
      </c>
      <c r="AM21" s="311">
        <v>0</v>
      </c>
      <c r="AN21" s="311">
        <v>0.81</v>
      </c>
      <c r="AO21" s="311">
        <v>5.01</v>
      </c>
      <c r="AP21" s="318">
        <v>0</v>
      </c>
      <c r="AQ21" s="277">
        <v>9</v>
      </c>
    </row>
    <row r="22" spans="1:43" s="294" customFormat="1" ht="18.75" customHeight="1">
      <c r="A22" s="804">
        <v>10</v>
      </c>
      <c r="B22" s="440" t="s">
        <v>110</v>
      </c>
      <c r="C22" s="285">
        <f t="shared" si="32"/>
        <v>4886.93</v>
      </c>
      <c r="D22" s="286">
        <f t="shared" si="16"/>
        <v>4829.76</v>
      </c>
      <c r="E22" s="286">
        <f t="shared" si="17"/>
        <v>3009.79</v>
      </c>
      <c r="F22" s="286">
        <f t="shared" si="18"/>
        <v>1819.9700000000003</v>
      </c>
      <c r="G22" s="286">
        <f t="shared" si="19"/>
        <v>3082.4</v>
      </c>
      <c r="H22" s="286">
        <f t="shared" si="20"/>
        <v>3003.39</v>
      </c>
      <c r="I22" s="291">
        <f t="shared" si="21"/>
        <v>79.01</v>
      </c>
      <c r="J22" s="292">
        <f t="shared" si="22"/>
        <v>1747.3600000000004</v>
      </c>
      <c r="K22" s="291">
        <f t="shared" si="23"/>
        <v>6.3999999999999995</v>
      </c>
      <c r="L22" s="292">
        <f t="shared" si="24"/>
        <v>1740.9600000000003</v>
      </c>
      <c r="M22" s="286">
        <f t="shared" si="25"/>
        <v>57.17</v>
      </c>
      <c r="N22" s="286">
        <f t="shared" si="26"/>
        <v>138.72</v>
      </c>
      <c r="O22" s="292">
        <f t="shared" si="27"/>
        <v>131.27</v>
      </c>
      <c r="P22" s="311">
        <f t="shared" si="28"/>
        <v>104.39</v>
      </c>
      <c r="Q22" s="311">
        <f t="shared" si="28"/>
        <v>26.880000000000003</v>
      </c>
      <c r="R22" s="286">
        <f t="shared" si="29"/>
        <v>109.12</v>
      </c>
      <c r="S22" s="311">
        <v>98.12</v>
      </c>
      <c r="T22" s="318">
        <v>11</v>
      </c>
      <c r="U22" s="277">
        <v>10</v>
      </c>
      <c r="V22" s="802">
        <v>10</v>
      </c>
      <c r="W22" s="440" t="s">
        <v>110</v>
      </c>
      <c r="X22" s="340">
        <f t="shared" si="30"/>
        <v>22.15</v>
      </c>
      <c r="Y22" s="311">
        <v>6.27</v>
      </c>
      <c r="Z22" s="311">
        <v>15.88</v>
      </c>
      <c r="AA22" s="318">
        <v>7.45</v>
      </c>
      <c r="AB22" s="292">
        <f t="shared" si="33"/>
        <v>4748.21</v>
      </c>
      <c r="AC22" s="286">
        <f t="shared" si="34"/>
        <v>4698.49</v>
      </c>
      <c r="AD22" s="286">
        <f t="shared" si="35"/>
        <v>2905.4</v>
      </c>
      <c r="AE22" s="291">
        <f t="shared" si="35"/>
        <v>1793.0900000000001</v>
      </c>
      <c r="AF22" s="835">
        <f t="shared" si="36"/>
        <v>2973.28</v>
      </c>
      <c r="AG22" s="113">
        <v>2905.27</v>
      </c>
      <c r="AH22" s="311">
        <v>68.01</v>
      </c>
      <c r="AI22" s="286">
        <f t="shared" si="37"/>
        <v>1725.2100000000003</v>
      </c>
      <c r="AJ22" s="311">
        <v>0.13</v>
      </c>
      <c r="AK22" s="311">
        <v>1725.0800000000002</v>
      </c>
      <c r="AL22" s="286">
        <f t="shared" si="38"/>
        <v>49.72</v>
      </c>
      <c r="AM22" s="311">
        <v>21.62</v>
      </c>
      <c r="AN22" s="311">
        <v>16.01</v>
      </c>
      <c r="AO22" s="311">
        <v>12.09</v>
      </c>
      <c r="AP22" s="318">
        <v>0</v>
      </c>
      <c r="AQ22" s="277">
        <v>10</v>
      </c>
    </row>
    <row r="23" spans="1:43" s="294" customFormat="1" ht="18.75" customHeight="1" thickBot="1">
      <c r="A23" s="519">
        <v>11</v>
      </c>
      <c r="B23" s="477" t="s">
        <v>181</v>
      </c>
      <c r="C23" s="285">
        <f t="shared" si="32"/>
        <v>19676.31</v>
      </c>
      <c r="D23" s="286">
        <f>E23+F23</f>
        <v>19115.09</v>
      </c>
      <c r="E23" s="286">
        <f>H23+K23</f>
        <v>11648.42</v>
      </c>
      <c r="F23" s="286">
        <f>I23+L23</f>
        <v>7466.67</v>
      </c>
      <c r="G23" s="286">
        <f>H23+I23</f>
        <v>12631.43</v>
      </c>
      <c r="H23" s="286">
        <f>S23+AG23</f>
        <v>11522.91</v>
      </c>
      <c r="I23" s="291">
        <f>T23+AH23</f>
        <v>1108.52</v>
      </c>
      <c r="J23" s="292">
        <f>K23+L23</f>
        <v>6483.66</v>
      </c>
      <c r="K23" s="291">
        <f>Y23+AJ23</f>
        <v>125.51</v>
      </c>
      <c r="L23" s="292">
        <f>Z23+AK23</f>
        <v>6358.15</v>
      </c>
      <c r="M23" s="286">
        <f>AA23+AL23</f>
        <v>561.22</v>
      </c>
      <c r="N23" s="286">
        <f>O23+AA23</f>
        <v>7555.21</v>
      </c>
      <c r="O23" s="292">
        <f>P23+Q23</f>
        <v>7203.09</v>
      </c>
      <c r="P23" s="311">
        <f>S23+Y23</f>
        <v>4488.75</v>
      </c>
      <c r="Q23" s="311">
        <f>T23+Z23</f>
        <v>2714.34</v>
      </c>
      <c r="R23" s="286">
        <f>S23+T23</f>
        <v>5392.27</v>
      </c>
      <c r="S23" s="311">
        <v>4364.22</v>
      </c>
      <c r="T23" s="311">
        <v>1028.05</v>
      </c>
      <c r="U23" s="284">
        <v>11</v>
      </c>
      <c r="V23" s="803">
        <v>11</v>
      </c>
      <c r="W23" s="477" t="s">
        <v>181</v>
      </c>
      <c r="X23" s="474">
        <f>Y23+Z23</f>
        <v>1810.82</v>
      </c>
      <c r="Y23" s="311">
        <v>124.53</v>
      </c>
      <c r="Z23" s="311">
        <v>1686.29</v>
      </c>
      <c r="AA23" s="318">
        <v>352.12</v>
      </c>
      <c r="AB23" s="292">
        <f t="shared" si="33"/>
        <v>12121.1</v>
      </c>
      <c r="AC23" s="286">
        <f t="shared" si="34"/>
        <v>11912</v>
      </c>
      <c r="AD23" s="286">
        <f t="shared" si="35"/>
        <v>7159.67</v>
      </c>
      <c r="AE23" s="291">
        <f t="shared" si="35"/>
        <v>4752.33</v>
      </c>
      <c r="AF23" s="835">
        <f t="shared" si="36"/>
        <v>7239.160000000001</v>
      </c>
      <c r="AG23" s="113">
        <v>7158.6900000000005</v>
      </c>
      <c r="AH23" s="311">
        <v>80.47000000000001</v>
      </c>
      <c r="AI23" s="286">
        <f t="shared" si="37"/>
        <v>4672.839999999999</v>
      </c>
      <c r="AJ23" s="311">
        <v>0.98</v>
      </c>
      <c r="AK23" s="311">
        <v>4671.86</v>
      </c>
      <c r="AL23" s="286">
        <f t="shared" si="38"/>
        <v>209.1</v>
      </c>
      <c r="AM23" s="311">
        <v>90.59</v>
      </c>
      <c r="AN23" s="311">
        <v>56.63</v>
      </c>
      <c r="AO23" s="311">
        <v>61.36</v>
      </c>
      <c r="AP23" s="318">
        <v>0.52</v>
      </c>
      <c r="AQ23" s="284">
        <v>11</v>
      </c>
    </row>
    <row r="24" spans="1:43" s="310" customFormat="1" ht="30" customHeight="1">
      <c r="A24" s="986" t="s">
        <v>135</v>
      </c>
      <c r="B24" s="950"/>
      <c r="C24" s="319">
        <f>+N24+AB24</f>
        <v>58854.28</v>
      </c>
      <c r="D24" s="320">
        <f aca="true" t="shared" si="39" ref="D24:T24">+D25+D32</f>
        <v>57214.65</v>
      </c>
      <c r="E24" s="320">
        <f t="shared" si="39"/>
        <v>32323.31</v>
      </c>
      <c r="F24" s="320">
        <f t="shared" si="39"/>
        <v>24891.34</v>
      </c>
      <c r="G24" s="320">
        <f t="shared" si="39"/>
        <v>33028.380000000005</v>
      </c>
      <c r="H24" s="320">
        <f t="shared" si="39"/>
        <v>32062.8</v>
      </c>
      <c r="I24" s="321">
        <f t="shared" si="39"/>
        <v>965.5799999999999</v>
      </c>
      <c r="J24" s="322">
        <f t="shared" si="39"/>
        <v>24186.27</v>
      </c>
      <c r="K24" s="321">
        <f t="shared" si="39"/>
        <v>260.51</v>
      </c>
      <c r="L24" s="322">
        <f t="shared" si="39"/>
        <v>23925.760000000002</v>
      </c>
      <c r="M24" s="320">
        <f t="shared" si="39"/>
        <v>1638.36</v>
      </c>
      <c r="N24" s="320">
        <f t="shared" si="39"/>
        <v>10567.36</v>
      </c>
      <c r="O24" s="322">
        <f t="shared" si="39"/>
        <v>9945.36</v>
      </c>
      <c r="P24" s="320">
        <f t="shared" si="39"/>
        <v>5376.76</v>
      </c>
      <c r="Q24" s="320">
        <f t="shared" si="39"/>
        <v>4568.6</v>
      </c>
      <c r="R24" s="320">
        <f t="shared" si="39"/>
        <v>5854</v>
      </c>
      <c r="S24" s="320">
        <f t="shared" si="39"/>
        <v>5188</v>
      </c>
      <c r="T24" s="320">
        <f t="shared" si="39"/>
        <v>666</v>
      </c>
      <c r="U24" s="444"/>
      <c r="V24" s="949" t="s">
        <v>135</v>
      </c>
      <c r="W24" s="950"/>
      <c r="X24" s="473">
        <f aca="true" t="shared" si="40" ref="X24:AP24">+X25+X32</f>
        <v>4091.3599999999997</v>
      </c>
      <c r="Y24" s="321">
        <f t="shared" si="40"/>
        <v>188.76</v>
      </c>
      <c r="Z24" s="321">
        <f t="shared" si="40"/>
        <v>3902.6</v>
      </c>
      <c r="AA24" s="325">
        <f t="shared" si="40"/>
        <v>622</v>
      </c>
      <c r="AB24" s="807">
        <f t="shared" si="40"/>
        <v>48286.92</v>
      </c>
      <c r="AC24" s="320">
        <f t="shared" si="40"/>
        <v>47270.56</v>
      </c>
      <c r="AD24" s="320">
        <f t="shared" si="40"/>
        <v>26947.82</v>
      </c>
      <c r="AE24" s="321">
        <f t="shared" si="40"/>
        <v>20322.739999999998</v>
      </c>
      <c r="AF24" s="807">
        <f t="shared" si="40"/>
        <v>27175.25</v>
      </c>
      <c r="AG24" s="322">
        <f t="shared" si="40"/>
        <v>26874.8</v>
      </c>
      <c r="AH24" s="320">
        <f t="shared" si="40"/>
        <v>299.58</v>
      </c>
      <c r="AI24" s="320">
        <f t="shared" si="40"/>
        <v>20094.91</v>
      </c>
      <c r="AJ24" s="320">
        <f t="shared" si="40"/>
        <v>71.75</v>
      </c>
      <c r="AK24" s="320">
        <f t="shared" si="40"/>
        <v>20023.16</v>
      </c>
      <c r="AL24" s="324">
        <f t="shared" si="40"/>
        <v>1016.3599999999999</v>
      </c>
      <c r="AM24" s="320">
        <f t="shared" si="40"/>
        <v>234.07</v>
      </c>
      <c r="AN24" s="320">
        <f t="shared" si="40"/>
        <v>254.48999999999995</v>
      </c>
      <c r="AO24" s="320">
        <f t="shared" si="40"/>
        <v>447.27000000000004</v>
      </c>
      <c r="AP24" s="325">
        <f t="shared" si="40"/>
        <v>80.53</v>
      </c>
      <c r="AQ24" s="323"/>
    </row>
    <row r="25" spans="1:43" s="303" customFormat="1" ht="18.75" customHeight="1">
      <c r="A25" s="977" t="s">
        <v>369</v>
      </c>
      <c r="B25" s="928"/>
      <c r="C25" s="295">
        <f>SUM(C26:C31)</f>
        <v>21259.489999999998</v>
      </c>
      <c r="D25" s="296">
        <f>E25+F25</f>
        <v>20559.68</v>
      </c>
      <c r="E25" s="296">
        <f aca="true" t="shared" si="41" ref="E25:F28">H25+K25</f>
        <v>12383.43</v>
      </c>
      <c r="F25" s="296">
        <f t="shared" si="41"/>
        <v>8176.25</v>
      </c>
      <c r="G25" s="296">
        <f>H25+I25</f>
        <v>12800.25</v>
      </c>
      <c r="H25" s="296">
        <f aca="true" t="shared" si="42" ref="H25:I28">S25+AG25</f>
        <v>12264.5</v>
      </c>
      <c r="I25" s="297">
        <f t="shared" si="42"/>
        <v>535.75</v>
      </c>
      <c r="J25" s="298">
        <f>K25+L25</f>
        <v>7759.43</v>
      </c>
      <c r="K25" s="297">
        <f aca="true" t="shared" si="43" ref="K25:M26">Y25+AJ25</f>
        <v>118.93</v>
      </c>
      <c r="L25" s="298">
        <f t="shared" si="43"/>
        <v>7640.5</v>
      </c>
      <c r="M25" s="296">
        <f t="shared" si="43"/>
        <v>699.81</v>
      </c>
      <c r="N25" s="296">
        <f>O25+AA25</f>
        <v>3586.3599999999997</v>
      </c>
      <c r="O25" s="298">
        <f>P25+Q25</f>
        <v>3310.3599999999997</v>
      </c>
      <c r="P25" s="296">
        <f aca="true" t="shared" si="44" ref="P25:Q28">S25+Y25</f>
        <v>1412.76</v>
      </c>
      <c r="Q25" s="296">
        <f t="shared" si="44"/>
        <v>1897.6</v>
      </c>
      <c r="R25" s="296">
        <f aca="true" t="shared" si="45" ref="R25:R32">S25+T25</f>
        <v>1630</v>
      </c>
      <c r="S25" s="296">
        <f>SUM(S26:S31)</f>
        <v>1296</v>
      </c>
      <c r="T25" s="296">
        <f>SUM(T26:T31)</f>
        <v>334</v>
      </c>
      <c r="U25" s="444" t="s">
        <v>91</v>
      </c>
      <c r="V25" s="927" t="s">
        <v>369</v>
      </c>
      <c r="W25" s="928"/>
      <c r="X25" s="341">
        <f>Y25+Z25</f>
        <v>1680.36</v>
      </c>
      <c r="Y25" s="296">
        <f aca="true" t="shared" si="46" ref="Y25:AP25">SUM(Y26:Y31)</f>
        <v>116.76</v>
      </c>
      <c r="Z25" s="296">
        <f t="shared" si="46"/>
        <v>1563.6</v>
      </c>
      <c r="AA25" s="301">
        <f t="shared" si="46"/>
        <v>276</v>
      </c>
      <c r="AB25" s="298">
        <f t="shared" si="46"/>
        <v>17674.399999999998</v>
      </c>
      <c r="AC25" s="296">
        <f t="shared" si="46"/>
        <v>17250.59</v>
      </c>
      <c r="AD25" s="296">
        <f t="shared" si="46"/>
        <v>10971.94</v>
      </c>
      <c r="AE25" s="297">
        <f t="shared" si="46"/>
        <v>6278.65</v>
      </c>
      <c r="AF25" s="475">
        <f>SUM(AF26:AF31)</f>
        <v>11170.249999999998</v>
      </c>
      <c r="AG25" s="298">
        <f t="shared" si="46"/>
        <v>10968.5</v>
      </c>
      <c r="AH25" s="296">
        <f t="shared" si="46"/>
        <v>201.74999999999997</v>
      </c>
      <c r="AI25" s="296">
        <f t="shared" si="46"/>
        <v>6079.07</v>
      </c>
      <c r="AJ25" s="296">
        <f t="shared" si="46"/>
        <v>2.17</v>
      </c>
      <c r="AK25" s="296">
        <f t="shared" si="46"/>
        <v>6076.9</v>
      </c>
      <c r="AL25" s="296">
        <f t="shared" si="46"/>
        <v>423.81</v>
      </c>
      <c r="AM25" s="296">
        <f t="shared" si="46"/>
        <v>110.82000000000001</v>
      </c>
      <c r="AN25" s="296">
        <f t="shared" si="46"/>
        <v>45.14999999999999</v>
      </c>
      <c r="AO25" s="296">
        <f t="shared" si="46"/>
        <v>267.84000000000003</v>
      </c>
      <c r="AP25" s="301">
        <f t="shared" si="46"/>
        <v>0</v>
      </c>
      <c r="AQ25" s="323" t="s">
        <v>91</v>
      </c>
    </row>
    <row r="26" spans="1:43" s="294" customFormat="1" ht="18.75" customHeight="1">
      <c r="A26" s="804">
        <v>12</v>
      </c>
      <c r="B26" s="439" t="s">
        <v>111</v>
      </c>
      <c r="C26" s="285">
        <f aca="true" t="shared" si="47" ref="C26:C31">D26+M26</f>
        <v>7403.64</v>
      </c>
      <c r="D26" s="286">
        <f aca="true" t="shared" si="48" ref="D26:D31">E26+F26</f>
        <v>7160.92</v>
      </c>
      <c r="E26" s="286">
        <f t="shared" si="41"/>
        <v>3903.4900000000002</v>
      </c>
      <c r="F26" s="286">
        <f t="shared" si="41"/>
        <v>3257.43</v>
      </c>
      <c r="G26" s="286">
        <f aca="true" t="shared" si="49" ref="G26:G31">H26+I26</f>
        <v>3972.88</v>
      </c>
      <c r="H26" s="286">
        <f t="shared" si="42"/>
        <v>3887.46</v>
      </c>
      <c r="I26" s="291">
        <f t="shared" si="42"/>
        <v>85.42</v>
      </c>
      <c r="J26" s="292">
        <f aca="true" t="shared" si="50" ref="J26:J31">K26+L26</f>
        <v>3188.04</v>
      </c>
      <c r="K26" s="291">
        <f t="shared" si="43"/>
        <v>16.03</v>
      </c>
      <c r="L26" s="292">
        <f t="shared" si="43"/>
        <v>3172.0099999999998</v>
      </c>
      <c r="M26" s="286">
        <f t="shared" si="43"/>
        <v>242.72</v>
      </c>
      <c r="N26" s="286">
        <f aca="true" t="shared" si="51" ref="N26:N31">O26+AA26</f>
        <v>986.36</v>
      </c>
      <c r="O26" s="292">
        <f aca="true" t="shared" si="52" ref="O26:O31">P26+Q26</f>
        <v>901.36</v>
      </c>
      <c r="P26" s="311">
        <f t="shared" si="44"/>
        <v>181.76</v>
      </c>
      <c r="Q26" s="311">
        <f t="shared" si="44"/>
        <v>719.6</v>
      </c>
      <c r="R26" s="286">
        <f t="shared" si="45"/>
        <v>205</v>
      </c>
      <c r="S26" s="311">
        <f>111+55</f>
        <v>166</v>
      </c>
      <c r="T26" s="311">
        <v>39</v>
      </c>
      <c r="U26" s="278">
        <v>12</v>
      </c>
      <c r="V26" s="802">
        <v>12</v>
      </c>
      <c r="W26" s="439" t="s">
        <v>111</v>
      </c>
      <c r="X26" s="340">
        <f aca="true" t="shared" si="53" ref="X26:X31">Y26+Z26</f>
        <v>696.36</v>
      </c>
      <c r="Y26" s="311">
        <v>15.76</v>
      </c>
      <c r="Z26" s="311">
        <v>680.6</v>
      </c>
      <c r="AA26" s="318">
        <f>72+13</f>
        <v>85</v>
      </c>
      <c r="AB26" s="292">
        <f aca="true" t="shared" si="54" ref="AB26:AB31">AC26+AL26</f>
        <v>6418.55</v>
      </c>
      <c r="AC26" s="286">
        <f aca="true" t="shared" si="55" ref="AC26:AC31">AD26+AE26</f>
        <v>6260.83</v>
      </c>
      <c r="AD26" s="286">
        <v>3723</v>
      </c>
      <c r="AE26" s="291">
        <f>AH26+AK26</f>
        <v>2537.83</v>
      </c>
      <c r="AF26" s="835">
        <f aca="true" t="shared" si="56" ref="AF26:AF31">AG26+AH26</f>
        <v>3767.88</v>
      </c>
      <c r="AG26" s="558">
        <f>1981.46+1740</f>
        <v>3721.46</v>
      </c>
      <c r="AH26" s="559">
        <f>15.42+31</f>
        <v>46.42</v>
      </c>
      <c r="AI26" s="286">
        <f aca="true" t="shared" si="57" ref="AI26:AI31">AJ26+AK26</f>
        <v>2491.68</v>
      </c>
      <c r="AJ26" s="559">
        <v>0.27</v>
      </c>
      <c r="AK26" s="559">
        <f>990.41+1501</f>
        <v>2491.41</v>
      </c>
      <c r="AL26" s="286">
        <f aca="true" t="shared" si="58" ref="AL26:AL31">SUM(AM26:AP26)</f>
        <v>157.72</v>
      </c>
      <c r="AM26" s="559">
        <f>14.92+3</f>
        <v>17.92</v>
      </c>
      <c r="AN26" s="559">
        <f>10.98+2</f>
        <v>12.98</v>
      </c>
      <c r="AO26" s="559">
        <f>47.82+79</f>
        <v>126.82</v>
      </c>
      <c r="AP26" s="560">
        <v>0</v>
      </c>
      <c r="AQ26" s="290">
        <v>12</v>
      </c>
    </row>
    <row r="27" spans="1:43" s="294" customFormat="1" ht="18.75" customHeight="1">
      <c r="A27" s="804">
        <v>13</v>
      </c>
      <c r="B27" s="440" t="s">
        <v>116</v>
      </c>
      <c r="C27" s="285">
        <f t="shared" si="47"/>
        <v>24.939999999999998</v>
      </c>
      <c r="D27" s="286">
        <f t="shared" si="48"/>
        <v>23.54</v>
      </c>
      <c r="E27" s="286">
        <f t="shared" si="41"/>
        <v>15.31</v>
      </c>
      <c r="F27" s="286">
        <f t="shared" si="41"/>
        <v>8.23</v>
      </c>
      <c r="G27" s="286">
        <f t="shared" si="49"/>
        <v>15.31</v>
      </c>
      <c r="H27" s="286">
        <f t="shared" si="42"/>
        <v>15.31</v>
      </c>
      <c r="I27" s="291">
        <f t="shared" si="42"/>
        <v>0</v>
      </c>
      <c r="J27" s="292">
        <f t="shared" si="50"/>
        <v>8.23</v>
      </c>
      <c r="K27" s="291">
        <f aca="true" t="shared" si="59" ref="K27:M28">Y27+AJ27</f>
        <v>0</v>
      </c>
      <c r="L27" s="292">
        <f t="shared" si="59"/>
        <v>8.23</v>
      </c>
      <c r="M27" s="286">
        <f t="shared" si="59"/>
        <v>1.4</v>
      </c>
      <c r="N27" s="286">
        <f t="shared" si="51"/>
        <v>0</v>
      </c>
      <c r="O27" s="292">
        <f t="shared" si="52"/>
        <v>0</v>
      </c>
      <c r="P27" s="311">
        <f t="shared" si="44"/>
        <v>0</v>
      </c>
      <c r="Q27" s="311">
        <f t="shared" si="44"/>
        <v>0</v>
      </c>
      <c r="R27" s="286">
        <f t="shared" si="45"/>
        <v>0</v>
      </c>
      <c r="S27" s="311">
        <v>0</v>
      </c>
      <c r="T27" s="311">
        <v>0</v>
      </c>
      <c r="U27" s="278">
        <v>13</v>
      </c>
      <c r="V27" s="802">
        <v>13</v>
      </c>
      <c r="W27" s="440" t="s">
        <v>116</v>
      </c>
      <c r="X27" s="340">
        <f t="shared" si="53"/>
        <v>0</v>
      </c>
      <c r="Y27" s="311">
        <v>0</v>
      </c>
      <c r="Z27" s="311">
        <v>0</v>
      </c>
      <c r="AA27" s="318">
        <v>0</v>
      </c>
      <c r="AB27" s="292">
        <f t="shared" si="54"/>
        <v>24.939999999999998</v>
      </c>
      <c r="AC27" s="286">
        <f t="shared" si="55"/>
        <v>23.54</v>
      </c>
      <c r="AD27" s="286">
        <f>AG27+AJ27</f>
        <v>15.31</v>
      </c>
      <c r="AE27" s="291">
        <f>AH27+AK27</f>
        <v>8.23</v>
      </c>
      <c r="AF27" s="835">
        <f t="shared" si="56"/>
        <v>15.31</v>
      </c>
      <c r="AG27" s="558">
        <v>15.31</v>
      </c>
      <c r="AH27" s="559">
        <v>0</v>
      </c>
      <c r="AI27" s="286">
        <f t="shared" si="57"/>
        <v>8.23</v>
      </c>
      <c r="AJ27" s="559">
        <v>0</v>
      </c>
      <c r="AK27" s="559">
        <v>8.23</v>
      </c>
      <c r="AL27" s="286">
        <f t="shared" si="58"/>
        <v>1.4</v>
      </c>
      <c r="AM27" s="559">
        <v>1.4</v>
      </c>
      <c r="AN27" s="559">
        <v>0</v>
      </c>
      <c r="AO27" s="559">
        <v>0</v>
      </c>
      <c r="AP27" s="560">
        <v>0</v>
      </c>
      <c r="AQ27" s="290">
        <v>13</v>
      </c>
    </row>
    <row r="28" spans="1:43" s="294" customFormat="1" ht="18.75" customHeight="1">
      <c r="A28" s="804">
        <v>14</v>
      </c>
      <c r="B28" s="440" t="s">
        <v>119</v>
      </c>
      <c r="C28" s="285">
        <f t="shared" si="47"/>
        <v>19.47</v>
      </c>
      <c r="D28" s="286">
        <f t="shared" si="48"/>
        <v>14.89</v>
      </c>
      <c r="E28" s="286">
        <f t="shared" si="41"/>
        <v>6.39</v>
      </c>
      <c r="F28" s="286">
        <f t="shared" si="41"/>
        <v>8.5</v>
      </c>
      <c r="G28" s="286">
        <f t="shared" si="49"/>
        <v>6.39</v>
      </c>
      <c r="H28" s="286">
        <f t="shared" si="42"/>
        <v>6.39</v>
      </c>
      <c r="I28" s="291">
        <f t="shared" si="42"/>
        <v>0</v>
      </c>
      <c r="J28" s="292">
        <f t="shared" si="50"/>
        <v>8.5</v>
      </c>
      <c r="K28" s="291">
        <f t="shared" si="59"/>
        <v>0</v>
      </c>
      <c r="L28" s="292">
        <f t="shared" si="59"/>
        <v>8.5</v>
      </c>
      <c r="M28" s="286">
        <f t="shared" si="59"/>
        <v>4.58</v>
      </c>
      <c r="N28" s="286">
        <f t="shared" si="51"/>
        <v>0</v>
      </c>
      <c r="O28" s="292">
        <f t="shared" si="52"/>
        <v>0</v>
      </c>
      <c r="P28" s="311">
        <f t="shared" si="44"/>
        <v>0</v>
      </c>
      <c r="Q28" s="311">
        <f t="shared" si="44"/>
        <v>0</v>
      </c>
      <c r="R28" s="286">
        <f t="shared" si="45"/>
        <v>0</v>
      </c>
      <c r="S28" s="311">
        <v>0</v>
      </c>
      <c r="T28" s="311">
        <v>0</v>
      </c>
      <c r="U28" s="278">
        <v>14</v>
      </c>
      <c r="V28" s="802">
        <v>14</v>
      </c>
      <c r="W28" s="440" t="s">
        <v>119</v>
      </c>
      <c r="X28" s="340">
        <f t="shared" si="53"/>
        <v>0</v>
      </c>
      <c r="Y28" s="311">
        <v>0</v>
      </c>
      <c r="Z28" s="311">
        <v>0</v>
      </c>
      <c r="AA28" s="318">
        <v>0</v>
      </c>
      <c r="AB28" s="292">
        <f t="shared" si="54"/>
        <v>19.47</v>
      </c>
      <c r="AC28" s="286">
        <f t="shared" si="55"/>
        <v>14.89</v>
      </c>
      <c r="AD28" s="286">
        <f>AG28+AJ28</f>
        <v>6.39</v>
      </c>
      <c r="AE28" s="291">
        <f>AH28+AK28</f>
        <v>8.5</v>
      </c>
      <c r="AF28" s="835">
        <f t="shared" si="56"/>
        <v>6.39</v>
      </c>
      <c r="AG28" s="558">
        <v>6.39</v>
      </c>
      <c r="AH28" s="559">
        <v>0</v>
      </c>
      <c r="AI28" s="286">
        <f t="shared" si="57"/>
        <v>8.5</v>
      </c>
      <c r="AJ28" s="559">
        <v>0</v>
      </c>
      <c r="AK28" s="559">
        <v>8.5</v>
      </c>
      <c r="AL28" s="286">
        <f t="shared" si="58"/>
        <v>4.58</v>
      </c>
      <c r="AM28" s="559">
        <v>4.58</v>
      </c>
      <c r="AN28" s="559">
        <v>0</v>
      </c>
      <c r="AO28" s="559">
        <v>0</v>
      </c>
      <c r="AP28" s="560">
        <v>0</v>
      </c>
      <c r="AQ28" s="290">
        <v>14</v>
      </c>
    </row>
    <row r="29" spans="1:43" s="294" customFormat="1" ht="18.75" customHeight="1">
      <c r="A29" s="804">
        <v>15</v>
      </c>
      <c r="B29" s="439" t="s">
        <v>112</v>
      </c>
      <c r="C29" s="285">
        <f t="shared" si="47"/>
        <v>12707.999999999998</v>
      </c>
      <c r="D29" s="286">
        <f t="shared" si="48"/>
        <v>12269.599999999999</v>
      </c>
      <c r="E29" s="286">
        <f aca="true" t="shared" si="60" ref="E29:F31">H29+K29</f>
        <v>7651.5</v>
      </c>
      <c r="F29" s="286">
        <f t="shared" si="60"/>
        <v>4618.099999999999</v>
      </c>
      <c r="G29" s="286">
        <f t="shared" si="49"/>
        <v>7995.0199999999995</v>
      </c>
      <c r="H29" s="286">
        <f aca="true" t="shared" si="61" ref="H29:I31">S29+AG29</f>
        <v>7548.73</v>
      </c>
      <c r="I29" s="291">
        <f t="shared" si="61"/>
        <v>446.28999999999996</v>
      </c>
      <c r="J29" s="292">
        <f t="shared" si="50"/>
        <v>4274.58</v>
      </c>
      <c r="K29" s="291">
        <f>Y29+AJ29</f>
        <v>102.77</v>
      </c>
      <c r="L29" s="292">
        <f>Z29+AK29</f>
        <v>4171.8099999999995</v>
      </c>
      <c r="M29" s="286">
        <f>AA29+AL29</f>
        <v>438.4</v>
      </c>
      <c r="N29" s="286">
        <f t="shared" si="51"/>
        <v>2600</v>
      </c>
      <c r="O29" s="292">
        <f t="shared" si="52"/>
        <v>2409</v>
      </c>
      <c r="P29" s="311">
        <f aca="true" t="shared" si="62" ref="P29:Q31">S29+Y29</f>
        <v>1231</v>
      </c>
      <c r="Q29" s="311">
        <f t="shared" si="62"/>
        <v>1178</v>
      </c>
      <c r="R29" s="286">
        <f t="shared" si="45"/>
        <v>1425</v>
      </c>
      <c r="S29" s="311">
        <v>1130</v>
      </c>
      <c r="T29" s="311">
        <v>295</v>
      </c>
      <c r="U29" s="278">
        <v>15</v>
      </c>
      <c r="V29" s="802">
        <v>15</v>
      </c>
      <c r="W29" s="439" t="s">
        <v>112</v>
      </c>
      <c r="X29" s="340">
        <f t="shared" si="53"/>
        <v>984</v>
      </c>
      <c r="Y29" s="311">
        <v>101</v>
      </c>
      <c r="Z29" s="311">
        <v>883</v>
      </c>
      <c r="AA29" s="318">
        <v>191</v>
      </c>
      <c r="AB29" s="292">
        <f t="shared" si="54"/>
        <v>10108</v>
      </c>
      <c r="AC29" s="286">
        <f t="shared" si="55"/>
        <v>9860.6</v>
      </c>
      <c r="AD29" s="286">
        <f aca="true" t="shared" si="63" ref="AD29:AE31">AG29+AJ29</f>
        <v>6420.5</v>
      </c>
      <c r="AE29" s="291">
        <f t="shared" si="63"/>
        <v>3440.1</v>
      </c>
      <c r="AF29" s="835">
        <f t="shared" si="56"/>
        <v>6570.0199999999995</v>
      </c>
      <c r="AG29" s="558">
        <v>6418.73</v>
      </c>
      <c r="AH29" s="559">
        <v>151.29</v>
      </c>
      <c r="AI29" s="286">
        <f t="shared" si="57"/>
        <v>3290.58</v>
      </c>
      <c r="AJ29" s="559">
        <v>1.77</v>
      </c>
      <c r="AK29" s="559">
        <v>3288.81</v>
      </c>
      <c r="AL29" s="286">
        <f t="shared" si="58"/>
        <v>247.4</v>
      </c>
      <c r="AM29" s="559">
        <v>84.59</v>
      </c>
      <c r="AN29" s="559">
        <v>32.01</v>
      </c>
      <c r="AO29" s="559">
        <v>130.8</v>
      </c>
      <c r="AP29" s="560">
        <v>0</v>
      </c>
      <c r="AQ29" s="290">
        <v>15</v>
      </c>
    </row>
    <row r="30" spans="1:43" s="294" customFormat="1" ht="18.75" customHeight="1">
      <c r="A30" s="804">
        <v>16</v>
      </c>
      <c r="B30" s="439" t="s">
        <v>113</v>
      </c>
      <c r="C30" s="285">
        <f t="shared" si="47"/>
        <v>752.7499999999999</v>
      </c>
      <c r="D30" s="286">
        <f t="shared" si="48"/>
        <v>749.8499999999999</v>
      </c>
      <c r="E30" s="286">
        <f t="shared" si="60"/>
        <v>597.14</v>
      </c>
      <c r="F30" s="286">
        <f t="shared" si="60"/>
        <v>152.70999999999998</v>
      </c>
      <c r="G30" s="286">
        <f t="shared" si="49"/>
        <v>601.05</v>
      </c>
      <c r="H30" s="286">
        <f t="shared" si="61"/>
        <v>597.01</v>
      </c>
      <c r="I30" s="291">
        <f t="shared" si="61"/>
        <v>4.04</v>
      </c>
      <c r="J30" s="292">
        <f t="shared" si="50"/>
        <v>148.79999999999998</v>
      </c>
      <c r="K30" s="291">
        <f aca="true" t="shared" si="64" ref="K30:M31">Y30+AJ30</f>
        <v>0.13</v>
      </c>
      <c r="L30" s="292">
        <f t="shared" si="64"/>
        <v>148.67</v>
      </c>
      <c r="M30" s="286">
        <f t="shared" si="64"/>
        <v>2.9</v>
      </c>
      <c r="N30" s="286">
        <f t="shared" si="51"/>
        <v>0</v>
      </c>
      <c r="O30" s="292">
        <f t="shared" si="52"/>
        <v>0</v>
      </c>
      <c r="P30" s="311">
        <f t="shared" si="62"/>
        <v>0</v>
      </c>
      <c r="Q30" s="311">
        <f t="shared" si="62"/>
        <v>0</v>
      </c>
      <c r="R30" s="286">
        <f t="shared" si="45"/>
        <v>0</v>
      </c>
      <c r="S30" s="311">
        <v>0</v>
      </c>
      <c r="T30" s="318">
        <v>0</v>
      </c>
      <c r="U30" s="290">
        <v>16</v>
      </c>
      <c r="V30" s="802">
        <v>16</v>
      </c>
      <c r="W30" s="439" t="s">
        <v>113</v>
      </c>
      <c r="X30" s="340">
        <f t="shared" si="53"/>
        <v>0</v>
      </c>
      <c r="Y30" s="311">
        <v>0</v>
      </c>
      <c r="Z30" s="311">
        <v>0</v>
      </c>
      <c r="AA30" s="318">
        <v>0</v>
      </c>
      <c r="AB30" s="292">
        <f t="shared" si="54"/>
        <v>752.7499999999999</v>
      </c>
      <c r="AC30" s="286">
        <f t="shared" si="55"/>
        <v>749.8499999999999</v>
      </c>
      <c r="AD30" s="286">
        <f t="shared" si="63"/>
        <v>597.14</v>
      </c>
      <c r="AE30" s="291">
        <f t="shared" si="63"/>
        <v>152.70999999999998</v>
      </c>
      <c r="AF30" s="835">
        <f t="shared" si="56"/>
        <v>601.05</v>
      </c>
      <c r="AG30" s="558">
        <v>597.01</v>
      </c>
      <c r="AH30" s="559">
        <v>4.04</v>
      </c>
      <c r="AI30" s="286">
        <f t="shared" si="57"/>
        <v>148.79999999999998</v>
      </c>
      <c r="AJ30" s="559">
        <v>0.13</v>
      </c>
      <c r="AK30" s="559">
        <v>148.67</v>
      </c>
      <c r="AL30" s="286">
        <f t="shared" si="58"/>
        <v>2.9</v>
      </c>
      <c r="AM30" s="559">
        <v>1.73</v>
      </c>
      <c r="AN30" s="559">
        <v>0</v>
      </c>
      <c r="AO30" s="559">
        <v>1.17</v>
      </c>
      <c r="AP30" s="560">
        <v>0</v>
      </c>
      <c r="AQ30" s="290">
        <v>16</v>
      </c>
    </row>
    <row r="31" spans="1:43" s="294" customFormat="1" ht="18.75" customHeight="1">
      <c r="A31" s="804">
        <v>17</v>
      </c>
      <c r="B31" s="439" t="s">
        <v>114</v>
      </c>
      <c r="C31" s="285">
        <f t="shared" si="47"/>
        <v>350.69</v>
      </c>
      <c r="D31" s="286">
        <f t="shared" si="48"/>
        <v>340.88</v>
      </c>
      <c r="E31" s="286">
        <f t="shared" si="60"/>
        <v>209.6</v>
      </c>
      <c r="F31" s="286">
        <f t="shared" si="60"/>
        <v>131.28</v>
      </c>
      <c r="G31" s="286">
        <f t="shared" si="49"/>
        <v>209.6</v>
      </c>
      <c r="H31" s="286">
        <f t="shared" si="61"/>
        <v>209.6</v>
      </c>
      <c r="I31" s="291">
        <f t="shared" si="61"/>
        <v>0</v>
      </c>
      <c r="J31" s="292">
        <f t="shared" si="50"/>
        <v>131.28</v>
      </c>
      <c r="K31" s="291">
        <f t="shared" si="64"/>
        <v>0</v>
      </c>
      <c r="L31" s="292">
        <f t="shared" si="64"/>
        <v>131.28</v>
      </c>
      <c r="M31" s="286">
        <f t="shared" si="64"/>
        <v>9.81</v>
      </c>
      <c r="N31" s="286">
        <f t="shared" si="51"/>
        <v>0</v>
      </c>
      <c r="O31" s="292">
        <f t="shared" si="52"/>
        <v>0</v>
      </c>
      <c r="P31" s="311">
        <f t="shared" si="62"/>
        <v>0</v>
      </c>
      <c r="Q31" s="311">
        <f t="shared" si="62"/>
        <v>0</v>
      </c>
      <c r="R31" s="286">
        <f t="shared" si="45"/>
        <v>0</v>
      </c>
      <c r="S31" s="311">
        <v>0</v>
      </c>
      <c r="T31" s="318">
        <v>0</v>
      </c>
      <c r="U31" s="290">
        <v>17</v>
      </c>
      <c r="V31" s="802">
        <v>17</v>
      </c>
      <c r="W31" s="439" t="s">
        <v>114</v>
      </c>
      <c r="X31" s="340">
        <f t="shared" si="53"/>
        <v>0</v>
      </c>
      <c r="Y31" s="311">
        <v>0</v>
      </c>
      <c r="Z31" s="311">
        <v>0</v>
      </c>
      <c r="AA31" s="318">
        <v>0</v>
      </c>
      <c r="AB31" s="292">
        <f t="shared" si="54"/>
        <v>350.69</v>
      </c>
      <c r="AC31" s="286">
        <f t="shared" si="55"/>
        <v>340.88</v>
      </c>
      <c r="AD31" s="286">
        <f t="shared" si="63"/>
        <v>209.6</v>
      </c>
      <c r="AE31" s="291">
        <f t="shared" si="63"/>
        <v>131.28</v>
      </c>
      <c r="AF31" s="835">
        <f t="shared" si="56"/>
        <v>209.6</v>
      </c>
      <c r="AG31" s="558">
        <v>209.6</v>
      </c>
      <c r="AH31" s="559">
        <v>0</v>
      </c>
      <c r="AI31" s="286">
        <f t="shared" si="57"/>
        <v>131.28</v>
      </c>
      <c r="AJ31" s="559">
        <v>0</v>
      </c>
      <c r="AK31" s="559">
        <v>131.28</v>
      </c>
      <c r="AL31" s="286">
        <f t="shared" si="58"/>
        <v>9.81</v>
      </c>
      <c r="AM31" s="559">
        <v>0.6</v>
      </c>
      <c r="AN31" s="559">
        <v>0.16</v>
      </c>
      <c r="AO31" s="559">
        <v>9.05</v>
      </c>
      <c r="AP31" s="560">
        <v>0</v>
      </c>
      <c r="AQ31" s="290">
        <v>17</v>
      </c>
    </row>
    <row r="32" spans="1:43" s="446" customFormat="1" ht="18.75" customHeight="1">
      <c r="A32" s="977" t="s">
        <v>370</v>
      </c>
      <c r="B32" s="952"/>
      <c r="C32" s="295">
        <f>SUM(C33:C41)</f>
        <v>37593.520000000004</v>
      </c>
      <c r="D32" s="296">
        <f>E32+F32</f>
        <v>36654.97</v>
      </c>
      <c r="E32" s="296">
        <f aca="true" t="shared" si="65" ref="E32:F34">H32+K32</f>
        <v>19939.88</v>
      </c>
      <c r="F32" s="296">
        <f t="shared" si="65"/>
        <v>16715.09</v>
      </c>
      <c r="G32" s="296">
        <f>H32+I32</f>
        <v>20228.13</v>
      </c>
      <c r="H32" s="296">
        <f aca="true" t="shared" si="66" ref="H32:I34">S32+AG32</f>
        <v>19798.3</v>
      </c>
      <c r="I32" s="297">
        <f t="shared" si="66"/>
        <v>429.83</v>
      </c>
      <c r="J32" s="298">
        <f>K32+L32</f>
        <v>16426.84</v>
      </c>
      <c r="K32" s="297">
        <f>Y32+AJ32</f>
        <v>141.57999999999998</v>
      </c>
      <c r="L32" s="298">
        <f>Z32+AK32</f>
        <v>16285.26</v>
      </c>
      <c r="M32" s="296">
        <f>AA32+AL32</f>
        <v>938.55</v>
      </c>
      <c r="N32" s="296">
        <f>O32+AA32</f>
        <v>6981</v>
      </c>
      <c r="O32" s="298">
        <f>P32+Q32</f>
        <v>6635</v>
      </c>
      <c r="P32" s="296">
        <f aca="true" t="shared" si="67" ref="P32:Q34">S32+Y32</f>
        <v>3964</v>
      </c>
      <c r="Q32" s="296">
        <f t="shared" si="67"/>
        <v>2671</v>
      </c>
      <c r="R32" s="296">
        <f t="shared" si="45"/>
        <v>4224</v>
      </c>
      <c r="S32" s="296">
        <f>SUM(S33:S41)</f>
        <v>3892</v>
      </c>
      <c r="T32" s="301">
        <f>SUM(T33:T41)</f>
        <v>332</v>
      </c>
      <c r="U32" s="328"/>
      <c r="V32" s="927" t="s">
        <v>370</v>
      </c>
      <c r="W32" s="952"/>
      <c r="X32" s="341">
        <f>Y32+Z32</f>
        <v>2411</v>
      </c>
      <c r="Y32" s="296">
        <f aca="true" t="shared" si="68" ref="Y32:AP32">SUM(Y33:Y41)</f>
        <v>72</v>
      </c>
      <c r="Z32" s="296">
        <f t="shared" si="68"/>
        <v>2339</v>
      </c>
      <c r="AA32" s="301">
        <f t="shared" si="68"/>
        <v>346</v>
      </c>
      <c r="AB32" s="332">
        <f t="shared" si="68"/>
        <v>30612.520000000004</v>
      </c>
      <c r="AC32" s="332">
        <f t="shared" si="68"/>
        <v>30019.97</v>
      </c>
      <c r="AD32" s="332">
        <f t="shared" si="68"/>
        <v>15975.880000000001</v>
      </c>
      <c r="AE32" s="475">
        <f t="shared" si="68"/>
        <v>14044.09</v>
      </c>
      <c r="AF32" s="475">
        <v>16005</v>
      </c>
      <c r="AG32" s="298">
        <f t="shared" si="68"/>
        <v>15906.3</v>
      </c>
      <c r="AH32" s="296">
        <f t="shared" si="68"/>
        <v>97.83</v>
      </c>
      <c r="AI32" s="296">
        <f t="shared" si="68"/>
        <v>14015.84</v>
      </c>
      <c r="AJ32" s="296">
        <f t="shared" si="68"/>
        <v>69.58</v>
      </c>
      <c r="AK32" s="296">
        <f t="shared" si="68"/>
        <v>13946.26</v>
      </c>
      <c r="AL32" s="296">
        <f t="shared" si="68"/>
        <v>592.55</v>
      </c>
      <c r="AM32" s="296">
        <f t="shared" si="68"/>
        <v>123.25</v>
      </c>
      <c r="AN32" s="296">
        <f t="shared" si="68"/>
        <v>209.33999999999997</v>
      </c>
      <c r="AO32" s="296">
        <f t="shared" si="68"/>
        <v>179.43</v>
      </c>
      <c r="AP32" s="299">
        <f t="shared" si="68"/>
        <v>80.53</v>
      </c>
      <c r="AQ32" s="328"/>
    </row>
    <row r="33" spans="1:43" s="294" customFormat="1" ht="18.75" customHeight="1">
      <c r="A33" s="804">
        <v>18</v>
      </c>
      <c r="B33" s="440" t="s">
        <v>117</v>
      </c>
      <c r="C33" s="285">
        <f aca="true" t="shared" si="69" ref="C33:C39">D33+M33</f>
        <v>904.44</v>
      </c>
      <c r="D33" s="286">
        <f aca="true" t="shared" si="70" ref="D33:D39">E33+F33</f>
        <v>876.75</v>
      </c>
      <c r="E33" s="286">
        <f t="shared" si="65"/>
        <v>415.04</v>
      </c>
      <c r="F33" s="286">
        <f t="shared" si="65"/>
        <v>461.71</v>
      </c>
      <c r="G33" s="286">
        <f aca="true" t="shared" si="71" ref="G33:G39">H33+I33</f>
        <v>416.06</v>
      </c>
      <c r="H33" s="286">
        <f t="shared" si="66"/>
        <v>415.04</v>
      </c>
      <c r="I33" s="291">
        <f t="shared" si="66"/>
        <v>1.02</v>
      </c>
      <c r="J33" s="292">
        <f aca="true" t="shared" si="72" ref="J33:J39">K33+L33</f>
        <v>460.69</v>
      </c>
      <c r="K33" s="291">
        <f aca="true" t="shared" si="73" ref="K33:M34">Y33+AJ33</f>
        <v>0</v>
      </c>
      <c r="L33" s="292">
        <f t="shared" si="73"/>
        <v>460.69</v>
      </c>
      <c r="M33" s="286">
        <f t="shared" si="73"/>
        <v>27.689999999999998</v>
      </c>
      <c r="N33" s="286">
        <f aca="true" t="shared" si="74" ref="N33:N39">O33+AA33</f>
        <v>0</v>
      </c>
      <c r="O33" s="292">
        <f aca="true" t="shared" si="75" ref="O33:O39">P33+Q33</f>
        <v>0</v>
      </c>
      <c r="P33" s="311">
        <f t="shared" si="67"/>
        <v>0</v>
      </c>
      <c r="Q33" s="311">
        <f t="shared" si="67"/>
        <v>0</v>
      </c>
      <c r="R33" s="286">
        <f aca="true" t="shared" si="76" ref="R33:R39">S33+T33</f>
        <v>0</v>
      </c>
      <c r="S33" s="311">
        <v>0</v>
      </c>
      <c r="T33" s="318">
        <v>0</v>
      </c>
      <c r="U33" s="290">
        <v>18</v>
      </c>
      <c r="V33" s="802">
        <v>18</v>
      </c>
      <c r="W33" s="440" t="s">
        <v>117</v>
      </c>
      <c r="X33" s="340">
        <f aca="true" t="shared" si="77" ref="X33:X39">Y33+Z33</f>
        <v>0</v>
      </c>
      <c r="Y33" s="311">
        <v>0</v>
      </c>
      <c r="Z33" s="311">
        <v>0</v>
      </c>
      <c r="AA33" s="318">
        <v>0</v>
      </c>
      <c r="AB33" s="292">
        <f aca="true" t="shared" si="78" ref="AB33:AB39">AC33+AL33</f>
        <v>904.44</v>
      </c>
      <c r="AC33" s="286">
        <f aca="true" t="shared" si="79" ref="AC33:AC39">AD33+AE33</f>
        <v>876.75</v>
      </c>
      <c r="AD33" s="286">
        <f aca="true" t="shared" si="80" ref="AD33:AE39">AG33+AJ33</f>
        <v>415.04</v>
      </c>
      <c r="AE33" s="291">
        <f t="shared" si="80"/>
        <v>461.71</v>
      </c>
      <c r="AF33" s="835">
        <f aca="true" t="shared" si="81" ref="AF33:AF39">AG33+AH33</f>
        <v>416.06</v>
      </c>
      <c r="AG33" s="558">
        <v>415.04</v>
      </c>
      <c r="AH33" s="559">
        <v>1.02</v>
      </c>
      <c r="AI33" s="286">
        <f aca="true" t="shared" si="82" ref="AI33:AI39">AJ33+AK33</f>
        <v>460.69</v>
      </c>
      <c r="AJ33" s="559">
        <v>0</v>
      </c>
      <c r="AK33" s="559">
        <v>460.69</v>
      </c>
      <c r="AL33" s="286">
        <f aca="true" t="shared" si="83" ref="AL33:AL39">SUM(AM33:AP33)</f>
        <v>27.689999999999998</v>
      </c>
      <c r="AM33" s="559">
        <v>5.31</v>
      </c>
      <c r="AN33" s="559">
        <v>0.98</v>
      </c>
      <c r="AO33" s="559">
        <v>21.4</v>
      </c>
      <c r="AP33" s="560">
        <v>0</v>
      </c>
      <c r="AQ33" s="290">
        <v>18</v>
      </c>
    </row>
    <row r="34" spans="1:43" s="294" customFormat="1" ht="18.75" customHeight="1">
      <c r="A34" s="804">
        <v>19</v>
      </c>
      <c r="B34" s="440" t="s">
        <v>118</v>
      </c>
      <c r="C34" s="285">
        <f t="shared" si="69"/>
        <v>44.8</v>
      </c>
      <c r="D34" s="286">
        <f t="shared" si="70"/>
        <v>43.14</v>
      </c>
      <c r="E34" s="286">
        <f t="shared" si="65"/>
        <v>30.9</v>
      </c>
      <c r="F34" s="286">
        <f t="shared" si="65"/>
        <v>12.24</v>
      </c>
      <c r="G34" s="286">
        <f t="shared" si="71"/>
        <v>30.9</v>
      </c>
      <c r="H34" s="286">
        <f t="shared" si="66"/>
        <v>30.9</v>
      </c>
      <c r="I34" s="291">
        <f t="shared" si="66"/>
        <v>0</v>
      </c>
      <c r="J34" s="292">
        <f t="shared" si="72"/>
        <v>12.24</v>
      </c>
      <c r="K34" s="291">
        <f t="shared" si="73"/>
        <v>0</v>
      </c>
      <c r="L34" s="292">
        <f t="shared" si="73"/>
        <v>12.24</v>
      </c>
      <c r="M34" s="286">
        <f t="shared" si="73"/>
        <v>1.6600000000000001</v>
      </c>
      <c r="N34" s="286">
        <f t="shared" si="74"/>
        <v>0</v>
      </c>
      <c r="O34" s="292">
        <f t="shared" si="75"/>
        <v>0</v>
      </c>
      <c r="P34" s="311">
        <f t="shared" si="67"/>
        <v>0</v>
      </c>
      <c r="Q34" s="311">
        <f t="shared" si="67"/>
        <v>0</v>
      </c>
      <c r="R34" s="286">
        <f t="shared" si="76"/>
        <v>0</v>
      </c>
      <c r="S34" s="311">
        <v>0</v>
      </c>
      <c r="T34" s="318">
        <v>0</v>
      </c>
      <c r="U34" s="290">
        <v>19</v>
      </c>
      <c r="V34" s="802">
        <v>19</v>
      </c>
      <c r="W34" s="440" t="s">
        <v>118</v>
      </c>
      <c r="X34" s="340">
        <f t="shared" si="77"/>
        <v>0</v>
      </c>
      <c r="Y34" s="311">
        <v>0</v>
      </c>
      <c r="Z34" s="311">
        <v>0</v>
      </c>
      <c r="AA34" s="318">
        <v>0</v>
      </c>
      <c r="AB34" s="292">
        <f t="shared" si="78"/>
        <v>44.8</v>
      </c>
      <c r="AC34" s="286">
        <f t="shared" si="79"/>
        <v>43.14</v>
      </c>
      <c r="AD34" s="286">
        <f t="shared" si="80"/>
        <v>30.9</v>
      </c>
      <c r="AE34" s="291">
        <f t="shared" si="80"/>
        <v>12.24</v>
      </c>
      <c r="AF34" s="835">
        <f t="shared" si="81"/>
        <v>30.9</v>
      </c>
      <c r="AG34" s="558">
        <v>30.9</v>
      </c>
      <c r="AH34" s="559">
        <v>0</v>
      </c>
      <c r="AI34" s="286">
        <f t="shared" si="82"/>
        <v>12.24</v>
      </c>
      <c r="AJ34" s="559">
        <v>0</v>
      </c>
      <c r="AK34" s="559">
        <v>12.24</v>
      </c>
      <c r="AL34" s="286">
        <f t="shared" si="83"/>
        <v>1.6600000000000001</v>
      </c>
      <c r="AM34" s="559">
        <v>1.06</v>
      </c>
      <c r="AN34" s="559">
        <v>0.6</v>
      </c>
      <c r="AO34" s="559">
        <v>0</v>
      </c>
      <c r="AP34" s="560">
        <v>0</v>
      </c>
      <c r="AQ34" s="290">
        <v>19</v>
      </c>
    </row>
    <row r="35" spans="1:43" s="294" customFormat="1" ht="18.75" customHeight="1">
      <c r="A35" s="804">
        <v>20</v>
      </c>
      <c r="B35" s="440" t="s">
        <v>120</v>
      </c>
      <c r="C35" s="285">
        <f t="shared" si="69"/>
        <v>5.3100000000000005</v>
      </c>
      <c r="D35" s="286">
        <f t="shared" si="70"/>
        <v>3.02</v>
      </c>
      <c r="E35" s="286">
        <f aca="true" t="shared" si="84" ref="E35:F39">H35+K35</f>
        <v>0.21</v>
      </c>
      <c r="F35" s="286">
        <f t="shared" si="84"/>
        <v>2.81</v>
      </c>
      <c r="G35" s="286">
        <f t="shared" si="71"/>
        <v>0.21</v>
      </c>
      <c r="H35" s="286">
        <f aca="true" t="shared" si="85" ref="H35:I39">S35+AG35</f>
        <v>0.21</v>
      </c>
      <c r="I35" s="291">
        <f t="shared" si="85"/>
        <v>0</v>
      </c>
      <c r="J35" s="292">
        <f t="shared" si="72"/>
        <v>2.81</v>
      </c>
      <c r="K35" s="291">
        <f aca="true" t="shared" si="86" ref="K35:M39">Y35+AJ35</f>
        <v>0</v>
      </c>
      <c r="L35" s="292">
        <f t="shared" si="86"/>
        <v>2.81</v>
      </c>
      <c r="M35" s="286">
        <f t="shared" si="86"/>
        <v>2.29</v>
      </c>
      <c r="N35" s="286">
        <f t="shared" si="74"/>
        <v>0</v>
      </c>
      <c r="O35" s="292">
        <f t="shared" si="75"/>
        <v>0</v>
      </c>
      <c r="P35" s="311">
        <f aca="true" t="shared" si="87" ref="P35:Q39">S35+Y35</f>
        <v>0</v>
      </c>
      <c r="Q35" s="311">
        <f t="shared" si="87"/>
        <v>0</v>
      </c>
      <c r="R35" s="286">
        <f t="shared" si="76"/>
        <v>0</v>
      </c>
      <c r="S35" s="311">
        <v>0</v>
      </c>
      <c r="T35" s="318">
        <v>0</v>
      </c>
      <c r="U35" s="290">
        <v>20</v>
      </c>
      <c r="V35" s="802">
        <v>20</v>
      </c>
      <c r="W35" s="440" t="s">
        <v>120</v>
      </c>
      <c r="X35" s="340">
        <f t="shared" si="77"/>
        <v>0</v>
      </c>
      <c r="Y35" s="311">
        <v>0</v>
      </c>
      <c r="Z35" s="311">
        <v>0</v>
      </c>
      <c r="AA35" s="318">
        <v>0</v>
      </c>
      <c r="AB35" s="292">
        <f t="shared" si="78"/>
        <v>5.3100000000000005</v>
      </c>
      <c r="AC35" s="286">
        <f t="shared" si="79"/>
        <v>3.02</v>
      </c>
      <c r="AD35" s="286">
        <f t="shared" si="80"/>
        <v>0.21</v>
      </c>
      <c r="AE35" s="291">
        <f t="shared" si="80"/>
        <v>2.81</v>
      </c>
      <c r="AF35" s="835">
        <f t="shared" si="81"/>
        <v>0.21</v>
      </c>
      <c r="AG35" s="558">
        <v>0.21</v>
      </c>
      <c r="AH35" s="559">
        <v>0</v>
      </c>
      <c r="AI35" s="286">
        <f t="shared" si="82"/>
        <v>2.81</v>
      </c>
      <c r="AJ35" s="559">
        <v>0</v>
      </c>
      <c r="AK35" s="559">
        <v>2.81</v>
      </c>
      <c r="AL35" s="286">
        <f t="shared" si="83"/>
        <v>2.29</v>
      </c>
      <c r="AM35" s="559">
        <v>2.29</v>
      </c>
      <c r="AN35" s="559">
        <v>0</v>
      </c>
      <c r="AO35" s="559">
        <v>0</v>
      </c>
      <c r="AP35" s="560">
        <v>0</v>
      </c>
      <c r="AQ35" s="290">
        <v>20</v>
      </c>
    </row>
    <row r="36" spans="1:43" s="294" customFormat="1" ht="18.75" customHeight="1">
      <c r="A36" s="804">
        <v>21</v>
      </c>
      <c r="B36" s="440" t="s">
        <v>136</v>
      </c>
      <c r="C36" s="285">
        <f t="shared" si="69"/>
        <v>2.85</v>
      </c>
      <c r="D36" s="286">
        <f t="shared" si="70"/>
        <v>1.05</v>
      </c>
      <c r="E36" s="286">
        <f t="shared" si="84"/>
        <v>0.37</v>
      </c>
      <c r="F36" s="286">
        <f t="shared" si="84"/>
        <v>0.68</v>
      </c>
      <c r="G36" s="286">
        <f t="shared" si="71"/>
        <v>0.37</v>
      </c>
      <c r="H36" s="286">
        <f t="shared" si="85"/>
        <v>0.37</v>
      </c>
      <c r="I36" s="291">
        <f t="shared" si="85"/>
        <v>0</v>
      </c>
      <c r="J36" s="292">
        <f t="shared" si="72"/>
        <v>0.68</v>
      </c>
      <c r="K36" s="291">
        <f t="shared" si="86"/>
        <v>0</v>
      </c>
      <c r="L36" s="292">
        <f t="shared" si="86"/>
        <v>0.68</v>
      </c>
      <c r="M36" s="286">
        <f t="shared" si="86"/>
        <v>1.8</v>
      </c>
      <c r="N36" s="286">
        <f t="shared" si="74"/>
        <v>0</v>
      </c>
      <c r="O36" s="292">
        <f t="shared" si="75"/>
        <v>0</v>
      </c>
      <c r="P36" s="311">
        <f t="shared" si="87"/>
        <v>0</v>
      </c>
      <c r="Q36" s="311">
        <f t="shared" si="87"/>
        <v>0</v>
      </c>
      <c r="R36" s="286">
        <f t="shared" si="76"/>
        <v>0</v>
      </c>
      <c r="S36" s="311">
        <v>0</v>
      </c>
      <c r="T36" s="318">
        <v>0</v>
      </c>
      <c r="U36" s="290">
        <v>21</v>
      </c>
      <c r="V36" s="802">
        <v>21</v>
      </c>
      <c r="W36" s="440" t="s">
        <v>136</v>
      </c>
      <c r="X36" s="340">
        <f t="shared" si="77"/>
        <v>0</v>
      </c>
      <c r="Y36" s="311">
        <v>0</v>
      </c>
      <c r="Z36" s="311">
        <v>0</v>
      </c>
      <c r="AA36" s="318">
        <v>0</v>
      </c>
      <c r="AB36" s="292">
        <f t="shared" si="78"/>
        <v>2.85</v>
      </c>
      <c r="AC36" s="286">
        <f t="shared" si="79"/>
        <v>1.05</v>
      </c>
      <c r="AD36" s="286">
        <f t="shared" si="80"/>
        <v>0.37</v>
      </c>
      <c r="AE36" s="291">
        <f t="shared" si="80"/>
        <v>0.68</v>
      </c>
      <c r="AF36" s="835">
        <f t="shared" si="81"/>
        <v>0.37</v>
      </c>
      <c r="AG36" s="558">
        <v>0.37</v>
      </c>
      <c r="AH36" s="559">
        <v>0</v>
      </c>
      <c r="AI36" s="286">
        <f t="shared" si="82"/>
        <v>0.68</v>
      </c>
      <c r="AJ36" s="559">
        <v>0</v>
      </c>
      <c r="AK36" s="559">
        <v>0.68</v>
      </c>
      <c r="AL36" s="286">
        <f t="shared" si="83"/>
        <v>1.8</v>
      </c>
      <c r="AM36" s="559">
        <v>1.8</v>
      </c>
      <c r="AN36" s="559">
        <v>0</v>
      </c>
      <c r="AO36" s="559">
        <v>0</v>
      </c>
      <c r="AP36" s="560">
        <v>0</v>
      </c>
      <c r="AQ36" s="290">
        <v>21</v>
      </c>
    </row>
    <row r="37" spans="1:43" s="294" customFormat="1" ht="18.75" customHeight="1">
      <c r="A37" s="804">
        <v>22</v>
      </c>
      <c r="B37" s="440" t="s">
        <v>121</v>
      </c>
      <c r="C37" s="285">
        <f t="shared" si="69"/>
        <v>30.96</v>
      </c>
      <c r="D37" s="286">
        <f t="shared" si="70"/>
        <v>30.86</v>
      </c>
      <c r="E37" s="286">
        <f t="shared" si="84"/>
        <v>23.14</v>
      </c>
      <c r="F37" s="286">
        <f t="shared" si="84"/>
        <v>7.72</v>
      </c>
      <c r="G37" s="286">
        <f t="shared" si="71"/>
        <v>23.14</v>
      </c>
      <c r="H37" s="286">
        <f t="shared" si="85"/>
        <v>23.14</v>
      </c>
      <c r="I37" s="291">
        <f t="shared" si="85"/>
        <v>0</v>
      </c>
      <c r="J37" s="292">
        <f t="shared" si="72"/>
        <v>7.72</v>
      </c>
      <c r="K37" s="291">
        <f t="shared" si="86"/>
        <v>0</v>
      </c>
      <c r="L37" s="292">
        <f t="shared" si="86"/>
        <v>7.72</v>
      </c>
      <c r="M37" s="286">
        <f t="shared" si="86"/>
        <v>0.1</v>
      </c>
      <c r="N37" s="286">
        <f t="shared" si="74"/>
        <v>0</v>
      </c>
      <c r="O37" s="292">
        <f t="shared" si="75"/>
        <v>0</v>
      </c>
      <c r="P37" s="311">
        <f t="shared" si="87"/>
        <v>0</v>
      </c>
      <c r="Q37" s="311">
        <f t="shared" si="87"/>
        <v>0</v>
      </c>
      <c r="R37" s="286">
        <f t="shared" si="76"/>
        <v>0</v>
      </c>
      <c r="S37" s="311">
        <v>0</v>
      </c>
      <c r="T37" s="318">
        <v>0</v>
      </c>
      <c r="U37" s="290">
        <v>22</v>
      </c>
      <c r="V37" s="802">
        <v>22</v>
      </c>
      <c r="W37" s="440" t="s">
        <v>121</v>
      </c>
      <c r="X37" s="340">
        <f t="shared" si="77"/>
        <v>0</v>
      </c>
      <c r="Y37" s="311">
        <v>0</v>
      </c>
      <c r="Z37" s="311">
        <v>0</v>
      </c>
      <c r="AA37" s="318">
        <v>0</v>
      </c>
      <c r="AB37" s="292">
        <f t="shared" si="78"/>
        <v>30.96</v>
      </c>
      <c r="AC37" s="286">
        <f t="shared" si="79"/>
        <v>30.86</v>
      </c>
      <c r="AD37" s="286">
        <f t="shared" si="80"/>
        <v>23.14</v>
      </c>
      <c r="AE37" s="291">
        <f t="shared" si="80"/>
        <v>7.72</v>
      </c>
      <c r="AF37" s="835">
        <f t="shared" si="81"/>
        <v>23.14</v>
      </c>
      <c r="AG37" s="558">
        <v>23.14</v>
      </c>
      <c r="AH37" s="559">
        <v>0</v>
      </c>
      <c r="AI37" s="286">
        <f t="shared" si="82"/>
        <v>7.72</v>
      </c>
      <c r="AJ37" s="559">
        <v>0</v>
      </c>
      <c r="AK37" s="559">
        <v>7.72</v>
      </c>
      <c r="AL37" s="286">
        <f t="shared" si="83"/>
        <v>0.1</v>
      </c>
      <c r="AM37" s="559">
        <v>0</v>
      </c>
      <c r="AN37" s="559">
        <v>0.1</v>
      </c>
      <c r="AO37" s="559">
        <v>0</v>
      </c>
      <c r="AP37" s="560">
        <v>0</v>
      </c>
      <c r="AQ37" s="290">
        <v>22</v>
      </c>
    </row>
    <row r="38" spans="1:43" s="294" customFormat="1" ht="18.75" customHeight="1">
      <c r="A38" s="804">
        <v>23</v>
      </c>
      <c r="B38" s="440" t="s">
        <v>122</v>
      </c>
      <c r="C38" s="285">
        <f t="shared" si="69"/>
        <v>2.09</v>
      </c>
      <c r="D38" s="286">
        <f t="shared" si="70"/>
        <v>2.09</v>
      </c>
      <c r="E38" s="286">
        <f t="shared" si="84"/>
        <v>0.41</v>
      </c>
      <c r="F38" s="286">
        <f t="shared" si="84"/>
        <v>1.68</v>
      </c>
      <c r="G38" s="286">
        <f t="shared" si="71"/>
        <v>0.41</v>
      </c>
      <c r="H38" s="286">
        <f t="shared" si="85"/>
        <v>0.41</v>
      </c>
      <c r="I38" s="291">
        <f t="shared" si="85"/>
        <v>0</v>
      </c>
      <c r="J38" s="292">
        <f t="shared" si="72"/>
        <v>1.68</v>
      </c>
      <c r="K38" s="291">
        <f t="shared" si="86"/>
        <v>0</v>
      </c>
      <c r="L38" s="292">
        <f t="shared" si="86"/>
        <v>1.68</v>
      </c>
      <c r="M38" s="286">
        <f t="shared" si="86"/>
        <v>0</v>
      </c>
      <c r="N38" s="286">
        <f t="shared" si="74"/>
        <v>0</v>
      </c>
      <c r="O38" s="292">
        <f t="shared" si="75"/>
        <v>0</v>
      </c>
      <c r="P38" s="311">
        <f t="shared" si="87"/>
        <v>0</v>
      </c>
      <c r="Q38" s="311">
        <f t="shared" si="87"/>
        <v>0</v>
      </c>
      <c r="R38" s="286">
        <f t="shared" si="76"/>
        <v>0</v>
      </c>
      <c r="S38" s="311">
        <v>0</v>
      </c>
      <c r="T38" s="318">
        <v>0</v>
      </c>
      <c r="U38" s="290">
        <v>23</v>
      </c>
      <c r="V38" s="802">
        <v>23</v>
      </c>
      <c r="W38" s="440" t="s">
        <v>122</v>
      </c>
      <c r="X38" s="340">
        <f t="shared" si="77"/>
        <v>0</v>
      </c>
      <c r="Y38" s="311">
        <v>0</v>
      </c>
      <c r="Z38" s="311">
        <v>0</v>
      </c>
      <c r="AA38" s="318">
        <v>0</v>
      </c>
      <c r="AB38" s="292">
        <f t="shared" si="78"/>
        <v>2.09</v>
      </c>
      <c r="AC38" s="286">
        <f t="shared" si="79"/>
        <v>2.09</v>
      </c>
      <c r="AD38" s="286">
        <f t="shared" si="80"/>
        <v>0.41</v>
      </c>
      <c r="AE38" s="291">
        <f t="shared" si="80"/>
        <v>1.68</v>
      </c>
      <c r="AF38" s="835">
        <f t="shared" si="81"/>
        <v>0.41</v>
      </c>
      <c r="AG38" s="558">
        <v>0.41</v>
      </c>
      <c r="AH38" s="559">
        <v>0</v>
      </c>
      <c r="AI38" s="286">
        <f t="shared" si="82"/>
        <v>1.68</v>
      </c>
      <c r="AJ38" s="559">
        <v>0</v>
      </c>
      <c r="AK38" s="559">
        <v>1.68</v>
      </c>
      <c r="AL38" s="286">
        <f t="shared" si="83"/>
        <v>0</v>
      </c>
      <c r="AM38" s="559">
        <v>0</v>
      </c>
      <c r="AN38" s="559">
        <v>0</v>
      </c>
      <c r="AO38" s="559">
        <v>0</v>
      </c>
      <c r="AP38" s="560">
        <v>0</v>
      </c>
      <c r="AQ38" s="290">
        <v>23</v>
      </c>
    </row>
    <row r="39" spans="1:43" s="326" customFormat="1" ht="18.75" customHeight="1">
      <c r="A39" s="804">
        <v>24</v>
      </c>
      <c r="B39" s="440" t="s">
        <v>123</v>
      </c>
      <c r="C39" s="285">
        <f t="shared" si="69"/>
        <v>42.989999999999995</v>
      </c>
      <c r="D39" s="286">
        <f t="shared" si="70"/>
        <v>42.62</v>
      </c>
      <c r="E39" s="286">
        <f t="shared" si="84"/>
        <v>31.11</v>
      </c>
      <c r="F39" s="286">
        <f t="shared" si="84"/>
        <v>11.51</v>
      </c>
      <c r="G39" s="286">
        <f t="shared" si="71"/>
        <v>31.11</v>
      </c>
      <c r="H39" s="286">
        <f t="shared" si="85"/>
        <v>31.11</v>
      </c>
      <c r="I39" s="291">
        <f t="shared" si="85"/>
        <v>0</v>
      </c>
      <c r="J39" s="292">
        <f t="shared" si="72"/>
        <v>11.51</v>
      </c>
      <c r="K39" s="291">
        <f t="shared" si="86"/>
        <v>0</v>
      </c>
      <c r="L39" s="292">
        <f t="shared" si="86"/>
        <v>11.51</v>
      </c>
      <c r="M39" s="286">
        <f t="shared" si="86"/>
        <v>0.37</v>
      </c>
      <c r="N39" s="286">
        <f t="shared" si="74"/>
        <v>0</v>
      </c>
      <c r="O39" s="292">
        <f t="shared" si="75"/>
        <v>0</v>
      </c>
      <c r="P39" s="311">
        <f t="shared" si="87"/>
        <v>0</v>
      </c>
      <c r="Q39" s="311">
        <f t="shared" si="87"/>
        <v>0</v>
      </c>
      <c r="R39" s="286">
        <f t="shared" si="76"/>
        <v>0</v>
      </c>
      <c r="S39" s="311">
        <v>0</v>
      </c>
      <c r="T39" s="318">
        <v>0</v>
      </c>
      <c r="U39" s="290">
        <v>24</v>
      </c>
      <c r="V39" s="802">
        <v>24</v>
      </c>
      <c r="W39" s="440" t="s">
        <v>123</v>
      </c>
      <c r="X39" s="340">
        <f t="shared" si="77"/>
        <v>0</v>
      </c>
      <c r="Y39" s="311">
        <v>0</v>
      </c>
      <c r="Z39" s="311">
        <v>0</v>
      </c>
      <c r="AA39" s="318">
        <v>0</v>
      </c>
      <c r="AB39" s="292">
        <f t="shared" si="78"/>
        <v>42.989999999999995</v>
      </c>
      <c r="AC39" s="286">
        <f t="shared" si="79"/>
        <v>42.62</v>
      </c>
      <c r="AD39" s="286">
        <f t="shared" si="80"/>
        <v>31.11</v>
      </c>
      <c r="AE39" s="291">
        <f t="shared" si="80"/>
        <v>11.51</v>
      </c>
      <c r="AF39" s="835">
        <f t="shared" si="81"/>
        <v>31.11</v>
      </c>
      <c r="AG39" s="558">
        <v>31.11</v>
      </c>
      <c r="AH39" s="559">
        <v>0</v>
      </c>
      <c r="AI39" s="286">
        <f t="shared" si="82"/>
        <v>11.51</v>
      </c>
      <c r="AJ39" s="559">
        <v>0</v>
      </c>
      <c r="AK39" s="559">
        <v>11.51</v>
      </c>
      <c r="AL39" s="286">
        <f t="shared" si="83"/>
        <v>0.37</v>
      </c>
      <c r="AM39" s="559">
        <v>0.37</v>
      </c>
      <c r="AN39" s="559">
        <v>0</v>
      </c>
      <c r="AO39" s="559">
        <v>0</v>
      </c>
      <c r="AP39" s="560">
        <v>0</v>
      </c>
      <c r="AQ39" s="290">
        <v>24</v>
      </c>
    </row>
    <row r="40" spans="1:43" s="294" customFormat="1" ht="18.75" customHeight="1">
      <c r="A40" s="804">
        <v>25</v>
      </c>
      <c r="B40" s="440" t="s">
        <v>115</v>
      </c>
      <c r="C40" s="285">
        <f>D40+M40</f>
        <v>19922.39</v>
      </c>
      <c r="D40" s="286">
        <f>E40+F40</f>
        <v>19420.72</v>
      </c>
      <c r="E40" s="286">
        <f>H40+K40</f>
        <v>11905.93</v>
      </c>
      <c r="F40" s="286">
        <f>I40+L40</f>
        <v>7514.79</v>
      </c>
      <c r="G40" s="286">
        <f>H40+I40</f>
        <v>12209.99</v>
      </c>
      <c r="H40" s="286">
        <f>S40+AG40</f>
        <v>11843.93</v>
      </c>
      <c r="I40" s="291">
        <f>T40+AH40</f>
        <v>366.06</v>
      </c>
      <c r="J40" s="292">
        <f>K40+L40</f>
        <v>7210.73</v>
      </c>
      <c r="K40" s="291">
        <f aca="true" t="shared" si="88" ref="K40:M41">Y40+AJ40</f>
        <v>62</v>
      </c>
      <c r="L40" s="292">
        <f t="shared" si="88"/>
        <v>7148.73</v>
      </c>
      <c r="M40" s="286">
        <f t="shared" si="88"/>
        <v>501.66999999999996</v>
      </c>
      <c r="N40" s="286">
        <f>O40+AA40</f>
        <v>6268</v>
      </c>
      <c r="O40" s="292">
        <f>P40+Q40</f>
        <v>5947</v>
      </c>
      <c r="P40" s="311">
        <f>S40+Y40</f>
        <v>3547</v>
      </c>
      <c r="Q40" s="311">
        <f>T40+Z40</f>
        <v>2400</v>
      </c>
      <c r="R40" s="286">
        <f>S40+T40</f>
        <v>3782</v>
      </c>
      <c r="S40" s="311">
        <v>3485</v>
      </c>
      <c r="T40" s="318">
        <v>297</v>
      </c>
      <c r="U40" s="290">
        <v>25</v>
      </c>
      <c r="V40" s="802">
        <v>25</v>
      </c>
      <c r="W40" s="440" t="s">
        <v>115</v>
      </c>
      <c r="X40" s="340">
        <f>Y40+Z40</f>
        <v>2165</v>
      </c>
      <c r="Y40" s="311">
        <v>62</v>
      </c>
      <c r="Z40" s="311">
        <v>2103</v>
      </c>
      <c r="AA40" s="318">
        <v>321</v>
      </c>
      <c r="AB40" s="292">
        <f>AC40+AL40</f>
        <v>13654.390000000001</v>
      </c>
      <c r="AC40" s="286">
        <f>AD40+AE40</f>
        <v>13473.720000000001</v>
      </c>
      <c r="AD40" s="286">
        <f>AG40+AJ40</f>
        <v>8358.93</v>
      </c>
      <c r="AE40" s="291">
        <f>AH40+AK40</f>
        <v>5114.79</v>
      </c>
      <c r="AF40" s="835">
        <f>AG40+AH40</f>
        <v>8427.99</v>
      </c>
      <c r="AG40" s="558">
        <v>8358.93</v>
      </c>
      <c r="AH40" s="559">
        <v>69.06</v>
      </c>
      <c r="AI40" s="286">
        <f>AJ40+AK40</f>
        <v>5045.73</v>
      </c>
      <c r="AJ40" s="559">
        <v>0</v>
      </c>
      <c r="AK40" s="559">
        <v>5045.73</v>
      </c>
      <c r="AL40" s="286">
        <f>SUM(AM40:AP40)</f>
        <v>180.67</v>
      </c>
      <c r="AM40" s="559">
        <v>71.99</v>
      </c>
      <c r="AN40" s="559">
        <v>48.96</v>
      </c>
      <c r="AO40" s="559">
        <v>58.22</v>
      </c>
      <c r="AP40" s="560">
        <v>1.5</v>
      </c>
      <c r="AQ40" s="290">
        <v>25</v>
      </c>
    </row>
    <row r="41" spans="1:43" s="294" customFormat="1" ht="18.75" customHeight="1" thickBot="1">
      <c r="A41" s="519">
        <v>26</v>
      </c>
      <c r="B41" s="477" t="s">
        <v>178</v>
      </c>
      <c r="C41" s="285">
        <f>D41+M41</f>
        <v>16637.690000000002</v>
      </c>
      <c r="D41" s="286">
        <f>E41+F41</f>
        <v>16234.720000000001</v>
      </c>
      <c r="E41" s="286">
        <f>H41+K41</f>
        <v>7532.7699999999995</v>
      </c>
      <c r="F41" s="286">
        <f>I41+L41</f>
        <v>8701.95</v>
      </c>
      <c r="G41" s="286">
        <f>H41+I41</f>
        <v>7515.94</v>
      </c>
      <c r="H41" s="286">
        <f>S41+AG41</f>
        <v>7453.19</v>
      </c>
      <c r="I41" s="291">
        <f>T41+AH41</f>
        <v>62.75</v>
      </c>
      <c r="J41" s="292">
        <f>K41+L41</f>
        <v>8718.78</v>
      </c>
      <c r="K41" s="291">
        <f t="shared" si="88"/>
        <v>79.58</v>
      </c>
      <c r="L41" s="292">
        <f t="shared" si="88"/>
        <v>8639.2</v>
      </c>
      <c r="M41" s="286">
        <f t="shared" si="88"/>
        <v>402.97</v>
      </c>
      <c r="N41" s="286">
        <f>O41+AA41</f>
        <v>713</v>
      </c>
      <c r="O41" s="292">
        <f>P41+Q41</f>
        <v>688</v>
      </c>
      <c r="P41" s="311">
        <f>S41+Y41</f>
        <v>417</v>
      </c>
      <c r="Q41" s="311">
        <f>T41+Z41</f>
        <v>271</v>
      </c>
      <c r="R41" s="286">
        <f>S41+T41</f>
        <v>442</v>
      </c>
      <c r="S41" s="311">
        <v>407</v>
      </c>
      <c r="T41" s="318">
        <v>35</v>
      </c>
      <c r="U41" s="290">
        <v>26</v>
      </c>
      <c r="V41" s="803">
        <v>26</v>
      </c>
      <c r="W41" s="477" t="s">
        <v>178</v>
      </c>
      <c r="X41" s="340">
        <f>Y41+Z41</f>
        <v>246</v>
      </c>
      <c r="Y41" s="311">
        <v>10</v>
      </c>
      <c r="Z41" s="311">
        <v>236</v>
      </c>
      <c r="AA41" s="318">
        <v>25</v>
      </c>
      <c r="AB41" s="292">
        <f>AC41+AL41</f>
        <v>15924.69</v>
      </c>
      <c r="AC41" s="286">
        <f>AD41+AE41</f>
        <v>15546.720000000001</v>
      </c>
      <c r="AD41" s="286">
        <f>AG41+AJ41</f>
        <v>7115.7699999999995</v>
      </c>
      <c r="AE41" s="291">
        <f>AH41+AK41</f>
        <v>8430.95</v>
      </c>
      <c r="AF41" s="835">
        <f>AG41+AH41</f>
        <v>7073.94</v>
      </c>
      <c r="AG41" s="558">
        <v>7046.19</v>
      </c>
      <c r="AH41" s="559">
        <v>27.75</v>
      </c>
      <c r="AI41" s="286">
        <f>AJ41+AK41</f>
        <v>8472.78</v>
      </c>
      <c r="AJ41" s="559">
        <v>69.58</v>
      </c>
      <c r="AK41" s="559">
        <v>8403.2</v>
      </c>
      <c r="AL41" s="286">
        <f>SUM(AM41:AP41)</f>
        <v>377.97</v>
      </c>
      <c r="AM41" s="559">
        <v>40.43</v>
      </c>
      <c r="AN41" s="559">
        <v>158.7</v>
      </c>
      <c r="AO41" s="559">
        <v>99.81</v>
      </c>
      <c r="AP41" s="560">
        <v>79.03</v>
      </c>
      <c r="AQ41" s="290">
        <v>26</v>
      </c>
    </row>
    <row r="42" spans="1:58" s="827" customFormat="1" ht="24.75" customHeight="1">
      <c r="A42" s="978" t="s">
        <v>87</v>
      </c>
      <c r="B42" s="954"/>
      <c r="C42" s="307">
        <f>+N42+AB42</f>
        <v>110726.03</v>
      </c>
      <c r="D42" s="305">
        <f aca="true" t="shared" si="89" ref="D42:T42">+D43+D46+D50</f>
        <v>107617.92</v>
      </c>
      <c r="E42" s="305">
        <f t="shared" si="89"/>
        <v>56039.729999999996</v>
      </c>
      <c r="F42" s="305">
        <f t="shared" si="89"/>
        <v>51578.19</v>
      </c>
      <c r="G42" s="305">
        <f t="shared" si="89"/>
        <v>56832.93</v>
      </c>
      <c r="H42" s="305">
        <f t="shared" si="89"/>
        <v>54667.12000000001</v>
      </c>
      <c r="I42" s="306">
        <f t="shared" si="89"/>
        <v>2165.81</v>
      </c>
      <c r="J42" s="307">
        <f t="shared" si="89"/>
        <v>50784.99</v>
      </c>
      <c r="K42" s="306">
        <f t="shared" si="89"/>
        <v>1372.6100000000001</v>
      </c>
      <c r="L42" s="307">
        <f t="shared" si="89"/>
        <v>49412.38</v>
      </c>
      <c r="M42" s="305">
        <f t="shared" si="89"/>
        <v>3108.6500000000005</v>
      </c>
      <c r="N42" s="305">
        <f t="shared" si="89"/>
        <v>29103.510000000002</v>
      </c>
      <c r="O42" s="307">
        <f t="shared" si="89"/>
        <v>27507.93</v>
      </c>
      <c r="P42" s="305">
        <f t="shared" si="89"/>
        <v>11864.789999999999</v>
      </c>
      <c r="Q42" s="305">
        <f t="shared" si="89"/>
        <v>15643.14</v>
      </c>
      <c r="R42" s="305">
        <f t="shared" si="89"/>
        <v>12383.27</v>
      </c>
      <c r="S42" s="305">
        <v>10604</v>
      </c>
      <c r="T42" s="335">
        <f t="shared" si="89"/>
        <v>1779.6399999999999</v>
      </c>
      <c r="U42" s="327"/>
      <c r="V42" s="953" t="s">
        <v>87</v>
      </c>
      <c r="W42" s="954"/>
      <c r="X42" s="342">
        <f aca="true" t="shared" si="90" ref="X42:AP42">+X43+X46+X50</f>
        <v>15124.66</v>
      </c>
      <c r="Y42" s="305">
        <f t="shared" si="90"/>
        <v>1261.1599999999999</v>
      </c>
      <c r="Z42" s="305">
        <v>13864</v>
      </c>
      <c r="AA42" s="335">
        <f>+AA43+AA46+AA50</f>
        <v>1595.58</v>
      </c>
      <c r="AB42" s="307">
        <f>+AB43+AB46+AB50</f>
        <v>81622.52</v>
      </c>
      <c r="AC42" s="305">
        <f t="shared" si="90"/>
        <v>80109.99</v>
      </c>
      <c r="AD42" s="305">
        <f t="shared" si="90"/>
        <v>44174.94</v>
      </c>
      <c r="AE42" s="306">
        <f t="shared" si="90"/>
        <v>35935.05</v>
      </c>
      <c r="AF42" s="806">
        <f t="shared" si="90"/>
        <v>44449.659999999996</v>
      </c>
      <c r="AG42" s="307">
        <f t="shared" si="90"/>
        <v>44063.490000000005</v>
      </c>
      <c r="AH42" s="305">
        <f t="shared" si="90"/>
        <v>386.17</v>
      </c>
      <c r="AI42" s="305">
        <f t="shared" si="90"/>
        <v>35660.33</v>
      </c>
      <c r="AJ42" s="305">
        <f t="shared" si="90"/>
        <v>111.45000000000002</v>
      </c>
      <c r="AK42" s="305">
        <f t="shared" si="90"/>
        <v>35548.88</v>
      </c>
      <c r="AL42" s="324">
        <v>1514</v>
      </c>
      <c r="AM42" s="305">
        <f t="shared" si="90"/>
        <v>579.3299999999999</v>
      </c>
      <c r="AN42" s="305">
        <f t="shared" si="90"/>
        <v>187.83999999999997</v>
      </c>
      <c r="AO42" s="305">
        <f t="shared" si="90"/>
        <v>605.85</v>
      </c>
      <c r="AP42" s="309">
        <f t="shared" si="90"/>
        <v>140.05</v>
      </c>
      <c r="AQ42" s="327"/>
      <c r="AR42" s="826"/>
      <c r="AS42" s="826"/>
      <c r="AT42" s="826"/>
      <c r="AU42" s="826"/>
      <c r="AV42" s="826"/>
      <c r="AW42" s="826"/>
      <c r="AX42" s="826"/>
      <c r="AY42" s="826"/>
      <c r="AZ42" s="826"/>
      <c r="BA42" s="826"/>
      <c r="BB42" s="826"/>
      <c r="BC42" s="826"/>
      <c r="BD42" s="826"/>
      <c r="BE42" s="826"/>
      <c r="BF42" s="826"/>
    </row>
    <row r="43" spans="1:43" s="828" customFormat="1" ht="18.75" customHeight="1">
      <c r="A43" s="977" t="s">
        <v>379</v>
      </c>
      <c r="B43" s="952"/>
      <c r="C43" s="295">
        <f>SUM(C44:C45)</f>
        <v>37970.47</v>
      </c>
      <c r="D43" s="296">
        <f aca="true" t="shared" si="91" ref="D43:D54">E43+F43</f>
        <v>36668.75</v>
      </c>
      <c r="E43" s="296">
        <f aca="true" t="shared" si="92" ref="E43:F45">H43+K43</f>
        <v>19065.350000000002</v>
      </c>
      <c r="F43" s="296">
        <f t="shared" si="92"/>
        <v>17603.399999999998</v>
      </c>
      <c r="G43" s="296">
        <f aca="true" t="shared" si="93" ref="G43:G54">H43+I43</f>
        <v>19637.030000000002</v>
      </c>
      <c r="H43" s="296">
        <f aca="true" t="shared" si="94" ref="H43:I45">S43+AG43</f>
        <v>18786.480000000003</v>
      </c>
      <c r="I43" s="297">
        <f t="shared" si="94"/>
        <v>850.55</v>
      </c>
      <c r="J43" s="298">
        <f aca="true" t="shared" si="95" ref="J43:J54">K43+L43</f>
        <v>17031.719999999998</v>
      </c>
      <c r="K43" s="297">
        <f aca="true" t="shared" si="96" ref="K43:M45">Y43+AJ43</f>
        <v>278.87000000000006</v>
      </c>
      <c r="L43" s="298">
        <f t="shared" si="96"/>
        <v>16752.85</v>
      </c>
      <c r="M43" s="296">
        <f t="shared" si="96"/>
        <v>1301.72</v>
      </c>
      <c r="N43" s="296">
        <f aca="true" t="shared" si="97" ref="N43:N54">O43+AA43</f>
        <v>10975.85</v>
      </c>
      <c r="O43" s="298">
        <f aca="true" t="shared" si="98" ref="O43:O54">P43+Q43</f>
        <v>10376.220000000001</v>
      </c>
      <c r="P43" s="296">
        <f aca="true" t="shared" si="99" ref="P43:Q45">S43+Y43</f>
        <v>5038.82</v>
      </c>
      <c r="Q43" s="296">
        <f t="shared" si="99"/>
        <v>5337.400000000001</v>
      </c>
      <c r="R43" s="296">
        <f aca="true" t="shared" si="100" ref="R43:R54">S43+T43</f>
        <v>5453.21</v>
      </c>
      <c r="S43" s="296">
        <f>SUM(S44:S45)</f>
        <v>4760.24</v>
      </c>
      <c r="T43" s="301">
        <f>SUM(T44:T45)</f>
        <v>692.97</v>
      </c>
      <c r="U43" s="328"/>
      <c r="V43" s="927" t="s">
        <v>379</v>
      </c>
      <c r="W43" s="952"/>
      <c r="X43" s="341">
        <f aca="true" t="shared" si="101" ref="X43:X54">Y43+Z43</f>
        <v>4923.01</v>
      </c>
      <c r="Y43" s="296">
        <f aca="true" t="shared" si="102" ref="Y43:AP43">SUM(Y44:Y45)</f>
        <v>278.58000000000004</v>
      </c>
      <c r="Z43" s="296">
        <f t="shared" si="102"/>
        <v>4644.43</v>
      </c>
      <c r="AA43" s="301">
        <f>SUM(AA44:AA45)</f>
        <v>599.63</v>
      </c>
      <c r="AB43" s="298">
        <f t="shared" si="102"/>
        <v>26994.620000000006</v>
      </c>
      <c r="AC43" s="296">
        <f t="shared" si="102"/>
        <v>26292.530000000006</v>
      </c>
      <c r="AD43" s="296">
        <f t="shared" si="102"/>
        <v>14026.530000000002</v>
      </c>
      <c r="AE43" s="297">
        <f t="shared" si="102"/>
        <v>12266</v>
      </c>
      <c r="AF43" s="475">
        <f t="shared" si="102"/>
        <v>14183.820000000002</v>
      </c>
      <c r="AG43" s="298">
        <f t="shared" si="102"/>
        <v>14026.240000000002</v>
      </c>
      <c r="AH43" s="296">
        <f t="shared" si="102"/>
        <v>157.57999999999998</v>
      </c>
      <c r="AI43" s="296">
        <f>SUM(AI44:AI45)</f>
        <v>12108.71</v>
      </c>
      <c r="AJ43" s="296">
        <f>SUM(AJ44:AJ45)</f>
        <v>0.29</v>
      </c>
      <c r="AK43" s="296">
        <f>SUM(AK44:AK45)</f>
        <v>12108.42</v>
      </c>
      <c r="AL43" s="297">
        <f t="shared" si="102"/>
        <v>702.09</v>
      </c>
      <c r="AM43" s="297">
        <f t="shared" si="102"/>
        <v>317.03</v>
      </c>
      <c r="AN43" s="297">
        <f t="shared" si="102"/>
        <v>21.240000000000002</v>
      </c>
      <c r="AO43" s="297">
        <f t="shared" si="102"/>
        <v>320.90999999999997</v>
      </c>
      <c r="AP43" s="299">
        <f t="shared" si="102"/>
        <v>42.910000000000004</v>
      </c>
      <c r="AQ43" s="328"/>
    </row>
    <row r="44" spans="1:43" s="111" customFormat="1" ht="18.75" customHeight="1">
      <c r="A44" s="804">
        <v>27</v>
      </c>
      <c r="B44" s="439" t="s">
        <v>124</v>
      </c>
      <c r="C44" s="285">
        <f>D44+M44</f>
        <v>21057.300000000003</v>
      </c>
      <c r="D44" s="286">
        <f>E44+F44</f>
        <v>20432.440000000002</v>
      </c>
      <c r="E44" s="286">
        <f t="shared" si="92"/>
        <v>11506.5</v>
      </c>
      <c r="F44" s="286">
        <f t="shared" si="92"/>
        <v>8925.94</v>
      </c>
      <c r="G44" s="286">
        <f t="shared" si="93"/>
        <v>11876.52</v>
      </c>
      <c r="H44" s="286">
        <f t="shared" si="94"/>
        <v>11393.87</v>
      </c>
      <c r="I44" s="291">
        <f t="shared" si="94"/>
        <v>482.65</v>
      </c>
      <c r="J44" s="292">
        <f t="shared" si="95"/>
        <v>8555.92</v>
      </c>
      <c r="K44" s="291">
        <f t="shared" si="96"/>
        <v>112.63000000000001</v>
      </c>
      <c r="L44" s="292">
        <f t="shared" si="96"/>
        <v>8443.29</v>
      </c>
      <c r="M44" s="286">
        <f t="shared" si="96"/>
        <v>624.86</v>
      </c>
      <c r="N44" s="337">
        <f t="shared" si="97"/>
        <v>3560.9</v>
      </c>
      <c r="O44" s="808">
        <f t="shared" si="98"/>
        <v>3367.53</v>
      </c>
      <c r="P44" s="338">
        <f>S44+Y44</f>
        <v>2323.61</v>
      </c>
      <c r="Q44" s="338">
        <f t="shared" si="99"/>
        <v>1043.92</v>
      </c>
      <c r="R44" s="337">
        <f t="shared" si="100"/>
        <v>2585.15</v>
      </c>
      <c r="S44" s="311">
        <v>2211.27</v>
      </c>
      <c r="T44" s="318">
        <v>373.88</v>
      </c>
      <c r="U44" s="277">
        <v>27</v>
      </c>
      <c r="V44" s="802">
        <v>27</v>
      </c>
      <c r="W44" s="439" t="s">
        <v>124</v>
      </c>
      <c r="X44" s="343">
        <f t="shared" si="101"/>
        <v>782.38</v>
      </c>
      <c r="Y44" s="311">
        <v>112.34</v>
      </c>
      <c r="Z44" s="311">
        <v>670.04</v>
      </c>
      <c r="AA44" s="318">
        <v>193.37</v>
      </c>
      <c r="AB44" s="292">
        <f>+AC44+AL44</f>
        <v>17496.400000000005</v>
      </c>
      <c r="AC44" s="286">
        <f>+AD44+AE44</f>
        <v>17064.910000000003</v>
      </c>
      <c r="AD44" s="286">
        <f>+AG44+AJ44</f>
        <v>9182.890000000001</v>
      </c>
      <c r="AE44" s="291">
        <f>+AH44+AK44</f>
        <v>7882.02</v>
      </c>
      <c r="AF44" s="835">
        <f>+AG44+AH44</f>
        <v>9291.37</v>
      </c>
      <c r="AG44" s="113">
        <v>9182.6</v>
      </c>
      <c r="AH44" s="311">
        <v>108.77</v>
      </c>
      <c r="AI44" s="286">
        <f>+AJ44+AK44</f>
        <v>7773.54</v>
      </c>
      <c r="AJ44" s="311">
        <v>0.29</v>
      </c>
      <c r="AK44" s="311">
        <v>7773.25</v>
      </c>
      <c r="AL44" s="291">
        <f>SUM(AM44:AP44)</f>
        <v>431.49</v>
      </c>
      <c r="AM44" s="311">
        <v>164.69</v>
      </c>
      <c r="AN44" s="311">
        <v>14.4</v>
      </c>
      <c r="AO44" s="311">
        <v>249.09</v>
      </c>
      <c r="AP44" s="318">
        <v>3.31</v>
      </c>
      <c r="AQ44" s="277">
        <v>27</v>
      </c>
    </row>
    <row r="45" spans="1:43" s="111" customFormat="1" ht="18.75" customHeight="1">
      <c r="A45" s="804">
        <v>28</v>
      </c>
      <c r="B45" s="439" t="s">
        <v>125</v>
      </c>
      <c r="C45" s="285">
        <f>D45+M45</f>
        <v>16913.17</v>
      </c>
      <c r="D45" s="286">
        <f t="shared" si="91"/>
        <v>16236.31</v>
      </c>
      <c r="E45" s="286">
        <f t="shared" si="92"/>
        <v>7558.85</v>
      </c>
      <c r="F45" s="286">
        <f t="shared" si="92"/>
        <v>8677.46</v>
      </c>
      <c r="G45" s="286">
        <f t="shared" si="93"/>
        <v>7760.51</v>
      </c>
      <c r="H45" s="286">
        <f t="shared" si="94"/>
        <v>7392.610000000001</v>
      </c>
      <c r="I45" s="291">
        <f t="shared" si="94"/>
        <v>367.9</v>
      </c>
      <c r="J45" s="292">
        <f t="shared" si="95"/>
        <v>8475.8</v>
      </c>
      <c r="K45" s="291">
        <f t="shared" si="96"/>
        <v>166.24</v>
      </c>
      <c r="L45" s="292">
        <f t="shared" si="96"/>
        <v>8309.56</v>
      </c>
      <c r="M45" s="286">
        <f t="shared" si="96"/>
        <v>676.86</v>
      </c>
      <c r="N45" s="337">
        <f t="shared" si="97"/>
        <v>7414.95</v>
      </c>
      <c r="O45" s="808">
        <f t="shared" si="98"/>
        <v>7008.69</v>
      </c>
      <c r="P45" s="338">
        <f t="shared" si="99"/>
        <v>2715.21</v>
      </c>
      <c r="Q45" s="338">
        <f t="shared" si="99"/>
        <v>4293.48</v>
      </c>
      <c r="R45" s="337">
        <f t="shared" si="100"/>
        <v>2868.06</v>
      </c>
      <c r="S45" s="311">
        <v>2548.97</v>
      </c>
      <c r="T45" s="318">
        <v>319.09</v>
      </c>
      <c r="U45" s="277">
        <v>28</v>
      </c>
      <c r="V45" s="802">
        <v>28</v>
      </c>
      <c r="W45" s="439" t="s">
        <v>125</v>
      </c>
      <c r="X45" s="343">
        <f t="shared" si="101"/>
        <v>4140.63</v>
      </c>
      <c r="Y45" s="311">
        <v>166.24</v>
      </c>
      <c r="Z45" s="311">
        <v>3974.39</v>
      </c>
      <c r="AA45" s="318">
        <v>406.26</v>
      </c>
      <c r="AB45" s="292">
        <f>+AC45+AL45</f>
        <v>9498.220000000001</v>
      </c>
      <c r="AC45" s="286">
        <f>+AD45+AE45</f>
        <v>9227.62</v>
      </c>
      <c r="AD45" s="286">
        <f>+AG45+AJ45</f>
        <v>4843.64</v>
      </c>
      <c r="AE45" s="291">
        <f>+AH45+AK45</f>
        <v>4383.9800000000005</v>
      </c>
      <c r="AF45" s="835">
        <f>+AG45+AH45</f>
        <v>4892.450000000001</v>
      </c>
      <c r="AG45" s="113">
        <v>4843.64</v>
      </c>
      <c r="AH45" s="311">
        <v>48.81</v>
      </c>
      <c r="AI45" s="286">
        <f>+AJ45+AK45</f>
        <v>4335.17</v>
      </c>
      <c r="AJ45" s="311">
        <v>0</v>
      </c>
      <c r="AK45" s="311">
        <v>4335.17</v>
      </c>
      <c r="AL45" s="291">
        <f>SUM(AM45:AP45)</f>
        <v>270.6</v>
      </c>
      <c r="AM45" s="311">
        <v>152.34</v>
      </c>
      <c r="AN45" s="311">
        <v>6.84</v>
      </c>
      <c r="AO45" s="311">
        <v>71.82</v>
      </c>
      <c r="AP45" s="318">
        <v>39.6</v>
      </c>
      <c r="AQ45" s="277">
        <v>28</v>
      </c>
    </row>
    <row r="46" spans="1:43" s="828" customFormat="1" ht="18.75" customHeight="1">
      <c r="A46" s="977" t="s">
        <v>373</v>
      </c>
      <c r="B46" s="952"/>
      <c r="C46" s="295">
        <f>SUM(C47:C49)</f>
        <v>37985.34</v>
      </c>
      <c r="D46" s="296">
        <f t="shared" si="91"/>
        <v>37046.22</v>
      </c>
      <c r="E46" s="296">
        <f aca="true" t="shared" si="103" ref="E46:F49">H46+K46</f>
        <v>18749.38</v>
      </c>
      <c r="F46" s="296">
        <f t="shared" si="103"/>
        <v>18296.84</v>
      </c>
      <c r="G46" s="296">
        <f t="shared" si="93"/>
        <v>18552.050000000003</v>
      </c>
      <c r="H46" s="296">
        <f aca="true" t="shared" si="104" ref="H46:I49">S46+AG46</f>
        <v>17865.31</v>
      </c>
      <c r="I46" s="297">
        <f t="shared" si="104"/>
        <v>686.7399999999999</v>
      </c>
      <c r="J46" s="298">
        <f t="shared" si="95"/>
        <v>18494.17</v>
      </c>
      <c r="K46" s="297">
        <f aca="true" t="shared" si="105" ref="K46:M47">Y46+AJ46</f>
        <v>884.07</v>
      </c>
      <c r="L46" s="298">
        <f t="shared" si="105"/>
        <v>17610.1</v>
      </c>
      <c r="M46" s="296">
        <f t="shared" si="105"/>
        <v>939.1199999999999</v>
      </c>
      <c r="N46" s="296">
        <f t="shared" si="97"/>
        <v>9540.44</v>
      </c>
      <c r="O46" s="298">
        <f t="shared" si="98"/>
        <v>9083.77</v>
      </c>
      <c r="P46" s="296">
        <f aca="true" t="shared" si="106" ref="P46:Q49">S46+Y46</f>
        <v>3350.8900000000003</v>
      </c>
      <c r="Q46" s="296">
        <f t="shared" si="106"/>
        <v>5732.879999999999</v>
      </c>
      <c r="R46" s="296">
        <f t="shared" si="100"/>
        <v>3151.9500000000003</v>
      </c>
      <c r="S46" s="296">
        <f>SUM(S47:S49)</f>
        <v>2577.3900000000003</v>
      </c>
      <c r="T46" s="301">
        <f>SUM(T47:T49)</f>
        <v>574.56</v>
      </c>
      <c r="U46" s="328"/>
      <c r="V46" s="927" t="s">
        <v>373</v>
      </c>
      <c r="W46" s="952"/>
      <c r="X46" s="341">
        <f t="shared" si="101"/>
        <v>5931.82</v>
      </c>
      <c r="Y46" s="296">
        <f>SUM(Y47:Y49)</f>
        <v>773.5</v>
      </c>
      <c r="Z46" s="296">
        <f>SUM(Z47:Z49)</f>
        <v>5158.32</v>
      </c>
      <c r="AA46" s="301">
        <f>SUM(AA47:AA49)</f>
        <v>456.66999999999996</v>
      </c>
      <c r="AB46" s="298">
        <f aca="true" t="shared" si="107" ref="AB46:AP46">SUM(AB47:AB49)</f>
        <v>28444.9</v>
      </c>
      <c r="AC46" s="296">
        <f t="shared" si="107"/>
        <v>27962.449999999997</v>
      </c>
      <c r="AD46" s="296">
        <f t="shared" si="107"/>
        <v>15398.490000000002</v>
      </c>
      <c r="AE46" s="297">
        <f t="shared" si="107"/>
        <v>12563.960000000001</v>
      </c>
      <c r="AF46" s="475">
        <f t="shared" si="107"/>
        <v>15400.099999999999</v>
      </c>
      <c r="AG46" s="298">
        <f t="shared" si="107"/>
        <v>15287.92</v>
      </c>
      <c r="AH46" s="296">
        <f t="shared" si="107"/>
        <v>112.17999999999999</v>
      </c>
      <c r="AI46" s="296">
        <f t="shared" si="107"/>
        <v>12562.35</v>
      </c>
      <c r="AJ46" s="296">
        <f>SUM(AJ47:AJ49)</f>
        <v>110.57000000000001</v>
      </c>
      <c r="AK46" s="296">
        <f>SUM(AK47:AK49)</f>
        <v>12451.779999999999</v>
      </c>
      <c r="AL46" s="297">
        <f t="shared" si="107"/>
        <v>482.45</v>
      </c>
      <c r="AM46" s="296">
        <f t="shared" si="107"/>
        <v>132.03</v>
      </c>
      <c r="AN46" s="296">
        <f t="shared" si="107"/>
        <v>107.11</v>
      </c>
      <c r="AO46" s="296">
        <f t="shared" si="107"/>
        <v>199.31</v>
      </c>
      <c r="AP46" s="299">
        <f t="shared" si="107"/>
        <v>44</v>
      </c>
      <c r="AQ46" s="328"/>
    </row>
    <row r="47" spans="1:43" s="111" customFormat="1" ht="18.75" customHeight="1">
      <c r="A47" s="804">
        <v>29</v>
      </c>
      <c r="B47" s="439" t="s">
        <v>126</v>
      </c>
      <c r="C47" s="285">
        <f>D47+M47</f>
        <v>10489.59</v>
      </c>
      <c r="D47" s="286">
        <f t="shared" si="91"/>
        <v>10225.41</v>
      </c>
      <c r="E47" s="286">
        <f t="shared" si="103"/>
        <v>7079.38</v>
      </c>
      <c r="F47" s="286">
        <f t="shared" si="103"/>
        <v>3146.0299999999997</v>
      </c>
      <c r="G47" s="286">
        <f t="shared" si="93"/>
        <v>7187.16</v>
      </c>
      <c r="H47" s="286">
        <f t="shared" si="104"/>
        <v>7078.67</v>
      </c>
      <c r="I47" s="291">
        <f t="shared" si="104"/>
        <v>108.49</v>
      </c>
      <c r="J47" s="292">
        <f t="shared" si="95"/>
        <v>3038.25</v>
      </c>
      <c r="K47" s="291">
        <f t="shared" si="105"/>
        <v>0.71</v>
      </c>
      <c r="L47" s="292">
        <f t="shared" si="105"/>
        <v>3037.54</v>
      </c>
      <c r="M47" s="286">
        <f t="shared" si="105"/>
        <v>264.18</v>
      </c>
      <c r="N47" s="286">
        <f t="shared" si="97"/>
        <v>227.89</v>
      </c>
      <c r="O47" s="292">
        <f t="shared" si="98"/>
        <v>223.97</v>
      </c>
      <c r="P47" s="311">
        <f t="shared" si="106"/>
        <v>149.13</v>
      </c>
      <c r="Q47" s="311">
        <f t="shared" si="106"/>
        <v>74.84</v>
      </c>
      <c r="R47" s="286">
        <f t="shared" si="100"/>
        <v>185.92</v>
      </c>
      <c r="S47" s="311">
        <v>148.42</v>
      </c>
      <c r="T47" s="318">
        <v>37.5</v>
      </c>
      <c r="U47" s="277">
        <v>29</v>
      </c>
      <c r="V47" s="802">
        <v>29</v>
      </c>
      <c r="W47" s="439" t="s">
        <v>126</v>
      </c>
      <c r="X47" s="340">
        <f t="shared" si="101"/>
        <v>38.050000000000004</v>
      </c>
      <c r="Y47" s="311">
        <v>0.71</v>
      </c>
      <c r="Z47" s="311">
        <v>37.34</v>
      </c>
      <c r="AA47" s="318">
        <v>3.92</v>
      </c>
      <c r="AB47" s="292">
        <f>+AC47+AL47</f>
        <v>10261.699999999999</v>
      </c>
      <c r="AC47" s="286">
        <f>+AD47+AE47</f>
        <v>10001.439999999999</v>
      </c>
      <c r="AD47" s="286">
        <f aca="true" t="shared" si="108" ref="AD47:AE49">+AG47+AJ47</f>
        <v>6930.25</v>
      </c>
      <c r="AE47" s="291">
        <f t="shared" si="108"/>
        <v>3071.1899999999996</v>
      </c>
      <c r="AF47" s="835">
        <f>+AG47+AH47</f>
        <v>7001.24</v>
      </c>
      <c r="AG47" s="113">
        <v>6930.25</v>
      </c>
      <c r="AH47" s="311">
        <v>70.99</v>
      </c>
      <c r="AI47" s="286">
        <f>+AJ47+AK47</f>
        <v>3000.2</v>
      </c>
      <c r="AJ47" s="311">
        <v>0</v>
      </c>
      <c r="AK47" s="311">
        <v>3000.2</v>
      </c>
      <c r="AL47" s="291">
        <f>SUM(AM47:AP47)</f>
        <v>260.26</v>
      </c>
      <c r="AM47" s="311">
        <v>104.12</v>
      </c>
      <c r="AN47" s="311">
        <v>62.38</v>
      </c>
      <c r="AO47" s="311">
        <v>91.08</v>
      </c>
      <c r="AP47" s="539">
        <v>2.68</v>
      </c>
      <c r="AQ47" s="277">
        <v>29</v>
      </c>
    </row>
    <row r="48" spans="1:43" s="111" customFormat="1" ht="18.75" customHeight="1">
      <c r="A48" s="804">
        <v>30</v>
      </c>
      <c r="B48" s="439" t="s">
        <v>127</v>
      </c>
      <c r="C48" s="285">
        <f>D48+M48</f>
        <v>17369.399999999998</v>
      </c>
      <c r="D48" s="286">
        <f t="shared" si="91"/>
        <v>16949.94</v>
      </c>
      <c r="E48" s="286">
        <f t="shared" si="103"/>
        <v>6050.14</v>
      </c>
      <c r="F48" s="286">
        <f t="shared" si="103"/>
        <v>10899.8</v>
      </c>
      <c r="G48" s="286">
        <f t="shared" si="93"/>
        <v>5562.02</v>
      </c>
      <c r="H48" s="286">
        <f t="shared" si="104"/>
        <v>5203.88</v>
      </c>
      <c r="I48" s="291">
        <f t="shared" si="104"/>
        <v>358.14</v>
      </c>
      <c r="J48" s="292">
        <f t="shared" si="95"/>
        <v>11387.92</v>
      </c>
      <c r="K48" s="291">
        <f aca="true" t="shared" si="109" ref="K48:M49">Y48+AJ48</f>
        <v>846.26</v>
      </c>
      <c r="L48" s="292">
        <f t="shared" si="109"/>
        <v>10541.66</v>
      </c>
      <c r="M48" s="286">
        <f t="shared" si="109"/>
        <v>419.46</v>
      </c>
      <c r="N48" s="286">
        <f t="shared" si="97"/>
        <v>7455.280000000001</v>
      </c>
      <c r="O48" s="292">
        <f t="shared" si="98"/>
        <v>7105.9400000000005</v>
      </c>
      <c r="P48" s="311">
        <f t="shared" si="106"/>
        <v>2279.7200000000003</v>
      </c>
      <c r="Q48" s="311">
        <f t="shared" si="106"/>
        <v>4826.22</v>
      </c>
      <c r="R48" s="286">
        <f t="shared" si="100"/>
        <v>1896.8600000000001</v>
      </c>
      <c r="S48" s="311">
        <v>1543.97</v>
      </c>
      <c r="T48" s="318">
        <v>352.89</v>
      </c>
      <c r="U48" s="277">
        <v>30</v>
      </c>
      <c r="V48" s="802">
        <v>30</v>
      </c>
      <c r="W48" s="439" t="s">
        <v>127</v>
      </c>
      <c r="X48" s="340">
        <f t="shared" si="101"/>
        <v>5209.08</v>
      </c>
      <c r="Y48" s="311">
        <v>735.75</v>
      </c>
      <c r="Z48" s="311">
        <v>4473.33</v>
      </c>
      <c r="AA48" s="318">
        <v>349.34</v>
      </c>
      <c r="AB48" s="292">
        <f>+AC48+AL48</f>
        <v>9914.12</v>
      </c>
      <c r="AC48" s="286">
        <f>+AD48+AE48</f>
        <v>9844</v>
      </c>
      <c r="AD48" s="286">
        <f t="shared" si="108"/>
        <v>3770.42</v>
      </c>
      <c r="AE48" s="291">
        <f t="shared" si="108"/>
        <v>6073.58</v>
      </c>
      <c r="AF48" s="835">
        <f>+AG48+AH48</f>
        <v>3665.16</v>
      </c>
      <c r="AG48" s="113">
        <v>3659.91</v>
      </c>
      <c r="AH48" s="311">
        <v>5.25</v>
      </c>
      <c r="AI48" s="286">
        <f>+AJ48+AK48</f>
        <v>6178.84</v>
      </c>
      <c r="AJ48" s="311">
        <v>110.51</v>
      </c>
      <c r="AK48" s="311">
        <v>6068.33</v>
      </c>
      <c r="AL48" s="291">
        <f>SUM(AM48:AP48)</f>
        <v>70.12</v>
      </c>
      <c r="AM48" s="311">
        <v>7.65</v>
      </c>
      <c r="AN48" s="311">
        <v>0.4</v>
      </c>
      <c r="AO48" s="311">
        <v>20.75</v>
      </c>
      <c r="AP48" s="539">
        <v>41.32</v>
      </c>
      <c r="AQ48" s="277">
        <v>30</v>
      </c>
    </row>
    <row r="49" spans="1:43" s="111" customFormat="1" ht="18.75" customHeight="1">
      <c r="A49" s="804">
        <v>31</v>
      </c>
      <c r="B49" s="439" t="s">
        <v>137</v>
      </c>
      <c r="C49" s="285">
        <f>D49+M49</f>
        <v>10126.35</v>
      </c>
      <c r="D49" s="286">
        <f t="shared" si="91"/>
        <v>9870.87</v>
      </c>
      <c r="E49" s="286">
        <f t="shared" si="103"/>
        <v>5619.860000000001</v>
      </c>
      <c r="F49" s="286">
        <f t="shared" si="103"/>
        <v>4251.01</v>
      </c>
      <c r="G49" s="286">
        <f t="shared" si="93"/>
        <v>5802.87</v>
      </c>
      <c r="H49" s="286">
        <f t="shared" si="104"/>
        <v>5582.76</v>
      </c>
      <c r="I49" s="291">
        <f t="shared" si="104"/>
        <v>220.10999999999999</v>
      </c>
      <c r="J49" s="292">
        <f t="shared" si="95"/>
        <v>4068</v>
      </c>
      <c r="K49" s="291">
        <f t="shared" si="109"/>
        <v>37.1</v>
      </c>
      <c r="L49" s="292">
        <f t="shared" si="109"/>
        <v>4030.9</v>
      </c>
      <c r="M49" s="286">
        <f t="shared" si="109"/>
        <v>255.48</v>
      </c>
      <c r="N49" s="286">
        <f t="shared" si="97"/>
        <v>1857.27</v>
      </c>
      <c r="O49" s="292">
        <f t="shared" si="98"/>
        <v>1753.86</v>
      </c>
      <c r="P49" s="311">
        <f t="shared" si="106"/>
        <v>922.04</v>
      </c>
      <c r="Q49" s="311">
        <f t="shared" si="106"/>
        <v>831.8199999999999</v>
      </c>
      <c r="R49" s="286">
        <f t="shared" si="100"/>
        <v>1069.17</v>
      </c>
      <c r="S49" s="311">
        <v>885</v>
      </c>
      <c r="T49" s="318">
        <v>184.17</v>
      </c>
      <c r="U49" s="277">
        <v>31</v>
      </c>
      <c r="V49" s="802">
        <v>31</v>
      </c>
      <c r="W49" s="439" t="s">
        <v>137</v>
      </c>
      <c r="X49" s="340">
        <f t="shared" si="101"/>
        <v>684.6899999999999</v>
      </c>
      <c r="Y49" s="311">
        <v>37.04</v>
      </c>
      <c r="Z49" s="311">
        <v>647.65</v>
      </c>
      <c r="AA49" s="318">
        <v>103.41</v>
      </c>
      <c r="AB49" s="292">
        <f>+AC49+AL49</f>
        <v>8269.08</v>
      </c>
      <c r="AC49" s="286">
        <f>+AD49+AE49</f>
        <v>8117.01</v>
      </c>
      <c r="AD49" s="286">
        <f t="shared" si="108"/>
        <v>4697.820000000001</v>
      </c>
      <c r="AE49" s="291">
        <f t="shared" si="108"/>
        <v>3419.19</v>
      </c>
      <c r="AF49" s="835">
        <f>+AG49+AH49</f>
        <v>4733.7</v>
      </c>
      <c r="AG49" s="113">
        <v>4697.76</v>
      </c>
      <c r="AH49" s="311">
        <v>35.94</v>
      </c>
      <c r="AI49" s="286">
        <f>+AJ49+AK49</f>
        <v>3383.31</v>
      </c>
      <c r="AJ49" s="311">
        <v>0.06</v>
      </c>
      <c r="AK49" s="311">
        <v>3383.25</v>
      </c>
      <c r="AL49" s="291">
        <f>SUM(AM49:AP49)</f>
        <v>152.07</v>
      </c>
      <c r="AM49" s="311">
        <v>20.26</v>
      </c>
      <c r="AN49" s="311">
        <v>44.33</v>
      </c>
      <c r="AO49" s="311">
        <v>87.48</v>
      </c>
      <c r="AP49" s="539">
        <v>0</v>
      </c>
      <c r="AQ49" s="277">
        <v>31</v>
      </c>
    </row>
    <row r="50" spans="1:43" s="828" customFormat="1" ht="18.75" customHeight="1">
      <c r="A50" s="977" t="s">
        <v>374</v>
      </c>
      <c r="B50" s="952"/>
      <c r="C50" s="295">
        <f>SUM(C51:C54)</f>
        <v>34770.94</v>
      </c>
      <c r="D50" s="296">
        <f t="shared" si="91"/>
        <v>33902.95</v>
      </c>
      <c r="E50" s="296">
        <f aca="true" t="shared" si="110" ref="E50:F54">H50+K50</f>
        <v>18224.999999999996</v>
      </c>
      <c r="F50" s="296">
        <f t="shared" si="110"/>
        <v>15677.95</v>
      </c>
      <c r="G50" s="296">
        <f t="shared" si="93"/>
        <v>18643.85</v>
      </c>
      <c r="H50" s="296">
        <f aca="true" t="shared" si="111" ref="H50:I54">S50+AG50</f>
        <v>18015.329999999998</v>
      </c>
      <c r="I50" s="297">
        <f t="shared" si="111"/>
        <v>628.52</v>
      </c>
      <c r="J50" s="298">
        <f t="shared" si="95"/>
        <v>15259.1</v>
      </c>
      <c r="K50" s="297">
        <f aca="true" t="shared" si="112" ref="K50:L54">Y50+AJ50</f>
        <v>209.67000000000002</v>
      </c>
      <c r="L50" s="298">
        <f t="shared" si="112"/>
        <v>15049.43</v>
      </c>
      <c r="M50" s="296">
        <f>AA50+AL50</f>
        <v>867.8100000000002</v>
      </c>
      <c r="N50" s="296">
        <f t="shared" si="97"/>
        <v>8587.22</v>
      </c>
      <c r="O50" s="298">
        <f t="shared" si="98"/>
        <v>8047.94</v>
      </c>
      <c r="P50" s="296">
        <f aca="true" t="shared" si="113" ref="P50:Q54">S50+Y50</f>
        <v>3475.08</v>
      </c>
      <c r="Q50" s="296">
        <f t="shared" si="113"/>
        <v>4572.86</v>
      </c>
      <c r="R50" s="296">
        <f t="shared" si="100"/>
        <v>3778.11</v>
      </c>
      <c r="S50" s="296">
        <v>3266</v>
      </c>
      <c r="T50" s="301">
        <f>SUM(T51:T54)</f>
        <v>512.11</v>
      </c>
      <c r="U50" s="328"/>
      <c r="V50" s="927" t="s">
        <v>374</v>
      </c>
      <c r="W50" s="952"/>
      <c r="X50" s="341">
        <f t="shared" si="101"/>
        <v>4269.83</v>
      </c>
      <c r="Y50" s="296">
        <f aca="true" t="shared" si="114" ref="Y50:AO50">SUM(Y51:Y54)</f>
        <v>209.08</v>
      </c>
      <c r="Z50" s="296">
        <f t="shared" si="114"/>
        <v>4060.75</v>
      </c>
      <c r="AA50" s="301">
        <f t="shared" si="114"/>
        <v>539.2800000000001</v>
      </c>
      <c r="AB50" s="298">
        <v>26183</v>
      </c>
      <c r="AC50" s="296">
        <f>SUM(AC51:AC54)</f>
        <v>25855.010000000002</v>
      </c>
      <c r="AD50" s="296">
        <f t="shared" si="114"/>
        <v>14749.919999999998</v>
      </c>
      <c r="AE50" s="297">
        <f t="shared" si="114"/>
        <v>11105.09</v>
      </c>
      <c r="AF50" s="475">
        <f t="shared" si="114"/>
        <v>14865.74</v>
      </c>
      <c r="AG50" s="298">
        <f t="shared" si="114"/>
        <v>14749.329999999998</v>
      </c>
      <c r="AH50" s="296">
        <f t="shared" si="114"/>
        <v>116.41000000000001</v>
      </c>
      <c r="AI50" s="296">
        <f>SUM(AI51:AI54)</f>
        <v>10989.27</v>
      </c>
      <c r="AJ50" s="296">
        <f>SUM(AJ51:AJ54)</f>
        <v>0.59</v>
      </c>
      <c r="AK50" s="296">
        <f>SUM(AK51:AK54)</f>
        <v>10988.68</v>
      </c>
      <c r="AL50" s="297">
        <f>SUM(AL51:AL54)</f>
        <v>328.53000000000003</v>
      </c>
      <c r="AM50" s="296">
        <f t="shared" si="114"/>
        <v>130.27</v>
      </c>
      <c r="AN50" s="296">
        <f t="shared" si="114"/>
        <v>59.489999999999995</v>
      </c>
      <c r="AO50" s="296">
        <f t="shared" si="114"/>
        <v>85.63</v>
      </c>
      <c r="AP50" s="299">
        <f>SUM(AP51:AP54)</f>
        <v>53.14</v>
      </c>
      <c r="AQ50" s="328"/>
    </row>
    <row r="51" spans="1:43" s="111" customFormat="1" ht="18.75" customHeight="1">
      <c r="A51" s="804">
        <v>32</v>
      </c>
      <c r="B51" s="439" t="s">
        <v>128</v>
      </c>
      <c r="C51" s="285">
        <f>D51+M51</f>
        <v>4761.49</v>
      </c>
      <c r="D51" s="286">
        <f t="shared" si="91"/>
        <v>4547.79</v>
      </c>
      <c r="E51" s="286">
        <f t="shared" si="110"/>
        <v>2398.84</v>
      </c>
      <c r="F51" s="286">
        <f t="shared" si="110"/>
        <v>2148.95</v>
      </c>
      <c r="G51" s="286">
        <f t="shared" si="93"/>
        <v>2469.06</v>
      </c>
      <c r="H51" s="286">
        <f t="shared" si="111"/>
        <v>2393.33</v>
      </c>
      <c r="I51" s="291">
        <f t="shared" si="111"/>
        <v>75.73</v>
      </c>
      <c r="J51" s="292">
        <f t="shared" si="95"/>
        <v>2078.73</v>
      </c>
      <c r="K51" s="291">
        <f t="shared" si="112"/>
        <v>5.51</v>
      </c>
      <c r="L51" s="292">
        <f t="shared" si="112"/>
        <v>2073.22</v>
      </c>
      <c r="M51" s="286">
        <f>AA51+AL51</f>
        <v>213.7</v>
      </c>
      <c r="N51" s="286">
        <f t="shared" si="97"/>
        <v>605.12</v>
      </c>
      <c r="O51" s="292">
        <f t="shared" si="98"/>
        <v>475.87</v>
      </c>
      <c r="P51" s="311">
        <f t="shared" si="113"/>
        <v>285.32</v>
      </c>
      <c r="Q51" s="311">
        <f t="shared" si="113"/>
        <v>190.55</v>
      </c>
      <c r="R51" s="286">
        <f t="shared" si="100"/>
        <v>317.15</v>
      </c>
      <c r="S51" s="311">
        <v>279.81</v>
      </c>
      <c r="T51" s="318">
        <v>37.34</v>
      </c>
      <c r="U51" s="277">
        <v>32</v>
      </c>
      <c r="V51" s="802">
        <v>32</v>
      </c>
      <c r="W51" s="439" t="s">
        <v>128</v>
      </c>
      <c r="X51" s="340">
        <f t="shared" si="101"/>
        <v>158.72</v>
      </c>
      <c r="Y51" s="311">
        <v>5.51</v>
      </c>
      <c r="Z51" s="311">
        <v>153.21</v>
      </c>
      <c r="AA51" s="318">
        <v>129.25</v>
      </c>
      <c r="AB51" s="292">
        <f>+AC51+AL51</f>
        <v>4156.37</v>
      </c>
      <c r="AC51" s="286">
        <f>+AD51+AE51</f>
        <v>4071.92</v>
      </c>
      <c r="AD51" s="286">
        <f aca="true" t="shared" si="115" ref="AD51:AE54">+AG51+AJ51</f>
        <v>2113.52</v>
      </c>
      <c r="AE51" s="291">
        <f t="shared" si="115"/>
        <v>1958.4</v>
      </c>
      <c r="AF51" s="835">
        <f>+AG51+AH51</f>
        <v>2151.91</v>
      </c>
      <c r="AG51" s="113">
        <v>2113.52</v>
      </c>
      <c r="AH51" s="311">
        <v>38.39</v>
      </c>
      <c r="AI51" s="286">
        <f>+AJ51+AK51</f>
        <v>1920.01</v>
      </c>
      <c r="AJ51" s="311">
        <v>0</v>
      </c>
      <c r="AK51" s="311">
        <v>1920.01</v>
      </c>
      <c r="AL51" s="291">
        <f>SUM(AM51:AP51)</f>
        <v>84.44999999999999</v>
      </c>
      <c r="AM51" s="311">
        <v>49.98</v>
      </c>
      <c r="AN51" s="311">
        <v>5.51</v>
      </c>
      <c r="AO51" s="311">
        <v>27.55</v>
      </c>
      <c r="AP51" s="539">
        <v>1.41</v>
      </c>
      <c r="AQ51" s="277">
        <v>32</v>
      </c>
    </row>
    <row r="52" spans="1:43" s="111" customFormat="1" ht="18.75" customHeight="1">
      <c r="A52" s="804">
        <v>33</v>
      </c>
      <c r="B52" s="439" t="s">
        <v>129</v>
      </c>
      <c r="C52" s="285">
        <f>D52+M52</f>
        <v>16109.06</v>
      </c>
      <c r="D52" s="286">
        <f t="shared" si="91"/>
        <v>15825.32</v>
      </c>
      <c r="E52" s="286">
        <f t="shared" si="110"/>
        <v>8491.83</v>
      </c>
      <c r="F52" s="286">
        <f t="shared" si="110"/>
        <v>7333.490000000001</v>
      </c>
      <c r="G52" s="286">
        <f t="shared" si="93"/>
        <v>8684.9</v>
      </c>
      <c r="H52" s="286">
        <f t="shared" si="111"/>
        <v>8374.44</v>
      </c>
      <c r="I52" s="291">
        <f t="shared" si="111"/>
        <v>310.46</v>
      </c>
      <c r="J52" s="292">
        <f t="shared" si="95"/>
        <v>7140.420000000001</v>
      </c>
      <c r="K52" s="291">
        <f t="shared" si="112"/>
        <v>117.39</v>
      </c>
      <c r="L52" s="292">
        <f t="shared" si="112"/>
        <v>7023.030000000001</v>
      </c>
      <c r="M52" s="286">
        <f>AA52+AL52</f>
        <v>283.74</v>
      </c>
      <c r="N52" s="286">
        <f t="shared" si="97"/>
        <v>3637.52</v>
      </c>
      <c r="O52" s="292">
        <f t="shared" si="98"/>
        <v>3465.19</v>
      </c>
      <c r="P52" s="311">
        <f t="shared" si="113"/>
        <v>1529.7800000000002</v>
      </c>
      <c r="Q52" s="311">
        <f t="shared" si="113"/>
        <v>1935.4099999999999</v>
      </c>
      <c r="R52" s="286">
        <f t="shared" si="100"/>
        <v>1674.0300000000002</v>
      </c>
      <c r="S52" s="311">
        <v>1412.39</v>
      </c>
      <c r="T52" s="318">
        <v>261.64</v>
      </c>
      <c r="U52" s="277">
        <v>33</v>
      </c>
      <c r="V52" s="802">
        <v>33</v>
      </c>
      <c r="W52" s="439" t="s">
        <v>129</v>
      </c>
      <c r="X52" s="340">
        <f t="shared" si="101"/>
        <v>1791.16</v>
      </c>
      <c r="Y52" s="311">
        <v>117.39</v>
      </c>
      <c r="Z52" s="311">
        <v>1673.77</v>
      </c>
      <c r="AA52" s="318">
        <v>172.33</v>
      </c>
      <c r="AB52" s="292">
        <f>+AC52+AL52</f>
        <v>12471.54</v>
      </c>
      <c r="AC52" s="286">
        <f>+AD52+AE52</f>
        <v>12360.130000000001</v>
      </c>
      <c r="AD52" s="286">
        <f t="shared" si="115"/>
        <v>6962.05</v>
      </c>
      <c r="AE52" s="291">
        <f t="shared" si="115"/>
        <v>5398.08</v>
      </c>
      <c r="AF52" s="835">
        <f>+AG52+AH52</f>
        <v>7010.87</v>
      </c>
      <c r="AG52" s="113">
        <v>6962.05</v>
      </c>
      <c r="AH52" s="311">
        <v>48.82</v>
      </c>
      <c r="AI52" s="286">
        <f>+AJ52+AK52</f>
        <v>5349.26</v>
      </c>
      <c r="AJ52" s="311">
        <v>0</v>
      </c>
      <c r="AK52" s="311">
        <v>5349.26</v>
      </c>
      <c r="AL52" s="291">
        <f>SUM(AM52:AP52)</f>
        <v>111.41</v>
      </c>
      <c r="AM52" s="311">
        <v>23.67</v>
      </c>
      <c r="AN52" s="311">
        <v>34.62</v>
      </c>
      <c r="AO52" s="311">
        <v>42.81</v>
      </c>
      <c r="AP52" s="318">
        <v>10.31</v>
      </c>
      <c r="AQ52" s="277">
        <v>33</v>
      </c>
    </row>
    <row r="53" spans="1:43" s="111" customFormat="1" ht="18.75" customHeight="1">
      <c r="A53" s="804">
        <v>34</v>
      </c>
      <c r="B53" s="439" t="s">
        <v>130</v>
      </c>
      <c r="C53" s="285">
        <f>D53+M53</f>
        <v>10745.28</v>
      </c>
      <c r="D53" s="286">
        <f t="shared" si="91"/>
        <v>10457.92</v>
      </c>
      <c r="E53" s="286">
        <f t="shared" si="110"/>
        <v>5337.68</v>
      </c>
      <c r="F53" s="286">
        <f t="shared" si="110"/>
        <v>5120.24</v>
      </c>
      <c r="G53" s="286">
        <f t="shared" si="93"/>
        <v>5444.200000000001</v>
      </c>
      <c r="H53" s="286">
        <f t="shared" si="111"/>
        <v>5257.77</v>
      </c>
      <c r="I53" s="291">
        <f t="shared" si="111"/>
        <v>186.43</v>
      </c>
      <c r="J53" s="292">
        <f t="shared" si="95"/>
        <v>5013.719999999999</v>
      </c>
      <c r="K53" s="291">
        <f t="shared" si="112"/>
        <v>79.91</v>
      </c>
      <c r="L53" s="292">
        <f t="shared" si="112"/>
        <v>4933.8099999999995</v>
      </c>
      <c r="M53" s="286">
        <f>AA53+AL53</f>
        <v>287.36</v>
      </c>
      <c r="N53" s="286">
        <f t="shared" si="97"/>
        <v>3735.0299999999997</v>
      </c>
      <c r="O53" s="292">
        <f t="shared" si="98"/>
        <v>3517.29</v>
      </c>
      <c r="P53" s="311">
        <f t="shared" si="113"/>
        <v>1190.97</v>
      </c>
      <c r="Q53" s="311">
        <f t="shared" si="113"/>
        <v>2326.32</v>
      </c>
      <c r="R53" s="286">
        <f t="shared" si="100"/>
        <v>1286.8600000000001</v>
      </c>
      <c r="S53" s="311">
        <v>1111.65</v>
      </c>
      <c r="T53" s="318">
        <v>175.21</v>
      </c>
      <c r="U53" s="277">
        <v>34</v>
      </c>
      <c r="V53" s="802">
        <v>34</v>
      </c>
      <c r="W53" s="439" t="s">
        <v>130</v>
      </c>
      <c r="X53" s="340">
        <f t="shared" si="101"/>
        <v>2230.4300000000003</v>
      </c>
      <c r="Y53" s="311">
        <v>79.32</v>
      </c>
      <c r="Z53" s="311">
        <v>2151.11</v>
      </c>
      <c r="AA53" s="318">
        <v>217.74</v>
      </c>
      <c r="AB53" s="292">
        <f>+AC53+AL53</f>
        <v>7010.249999999999</v>
      </c>
      <c r="AC53" s="286">
        <f>+AD53+AE53</f>
        <v>6940.629999999999</v>
      </c>
      <c r="AD53" s="286">
        <f t="shared" si="115"/>
        <v>4146.71</v>
      </c>
      <c r="AE53" s="291">
        <f t="shared" si="115"/>
        <v>2793.9199999999996</v>
      </c>
      <c r="AF53" s="835">
        <f>+AG53+AH53</f>
        <v>4157.34</v>
      </c>
      <c r="AG53" s="113">
        <v>4146.12</v>
      </c>
      <c r="AH53" s="311">
        <v>11.22</v>
      </c>
      <c r="AI53" s="286">
        <f>+AJ53+AK53</f>
        <v>2783.29</v>
      </c>
      <c r="AJ53" s="311">
        <v>0.59</v>
      </c>
      <c r="AK53" s="311">
        <v>2782.7</v>
      </c>
      <c r="AL53" s="291">
        <f>SUM(AM53:AP53)</f>
        <v>69.62</v>
      </c>
      <c r="AM53" s="311">
        <v>6.41</v>
      </c>
      <c r="AN53" s="311">
        <v>13.25</v>
      </c>
      <c r="AO53" s="311">
        <v>9.18</v>
      </c>
      <c r="AP53" s="318">
        <v>40.78</v>
      </c>
      <c r="AQ53" s="277">
        <v>34</v>
      </c>
    </row>
    <row r="54" spans="1:43" s="111" customFormat="1" ht="18.75" customHeight="1" thickBot="1">
      <c r="A54" s="805">
        <v>35</v>
      </c>
      <c r="B54" s="478" t="s">
        <v>131</v>
      </c>
      <c r="C54" s="465">
        <f>D54+M54</f>
        <v>3155.1099999999997</v>
      </c>
      <c r="D54" s="466">
        <f t="shared" si="91"/>
        <v>3072.1</v>
      </c>
      <c r="E54" s="466">
        <f t="shared" si="110"/>
        <v>1996.83</v>
      </c>
      <c r="F54" s="466">
        <f t="shared" si="110"/>
        <v>1075.27</v>
      </c>
      <c r="G54" s="466">
        <f t="shared" si="93"/>
        <v>2045.8700000000001</v>
      </c>
      <c r="H54" s="466">
        <f t="shared" si="111"/>
        <v>1989.97</v>
      </c>
      <c r="I54" s="467">
        <f t="shared" si="111"/>
        <v>55.900000000000006</v>
      </c>
      <c r="J54" s="468">
        <f t="shared" si="95"/>
        <v>1026.23</v>
      </c>
      <c r="K54" s="467">
        <f t="shared" si="112"/>
        <v>6.86</v>
      </c>
      <c r="L54" s="468">
        <f t="shared" si="112"/>
        <v>1019.37</v>
      </c>
      <c r="M54" s="466">
        <f>AA54+AL54</f>
        <v>83.00999999999999</v>
      </c>
      <c r="N54" s="466">
        <f t="shared" si="97"/>
        <v>609.73</v>
      </c>
      <c r="O54" s="468">
        <f t="shared" si="98"/>
        <v>589.77</v>
      </c>
      <c r="P54" s="469">
        <f t="shared" si="113"/>
        <v>469.19</v>
      </c>
      <c r="Q54" s="469">
        <f t="shared" si="113"/>
        <v>120.58</v>
      </c>
      <c r="R54" s="466">
        <f t="shared" si="100"/>
        <v>500.25</v>
      </c>
      <c r="S54" s="469">
        <v>462.33</v>
      </c>
      <c r="T54" s="470">
        <v>37.92</v>
      </c>
      <c r="U54" s="282">
        <v>35</v>
      </c>
      <c r="V54" s="513">
        <v>35</v>
      </c>
      <c r="W54" s="478" t="s">
        <v>131</v>
      </c>
      <c r="X54" s="471">
        <f t="shared" si="101"/>
        <v>89.52</v>
      </c>
      <c r="Y54" s="469">
        <v>6.86</v>
      </c>
      <c r="Z54" s="469">
        <v>82.66</v>
      </c>
      <c r="AA54" s="470">
        <v>19.96</v>
      </c>
      <c r="AB54" s="468">
        <f>+AC54+AL54</f>
        <v>2545.38</v>
      </c>
      <c r="AC54" s="466">
        <f>+AD54+AE54</f>
        <v>2482.33</v>
      </c>
      <c r="AD54" s="466">
        <f t="shared" si="115"/>
        <v>1527.64</v>
      </c>
      <c r="AE54" s="467">
        <f t="shared" si="115"/>
        <v>954.69</v>
      </c>
      <c r="AF54" s="836">
        <f>+AG54+AH54</f>
        <v>1545.6200000000001</v>
      </c>
      <c r="AG54" s="540">
        <v>1527.64</v>
      </c>
      <c r="AH54" s="469">
        <v>17.98</v>
      </c>
      <c r="AI54" s="466">
        <f>+AJ54+AK54</f>
        <v>936.71</v>
      </c>
      <c r="AJ54" s="469">
        <v>0</v>
      </c>
      <c r="AK54" s="469">
        <v>936.71</v>
      </c>
      <c r="AL54" s="467">
        <f>SUM(AM54:AP54)</f>
        <v>63.05</v>
      </c>
      <c r="AM54" s="469">
        <v>50.21</v>
      </c>
      <c r="AN54" s="469">
        <v>6.11</v>
      </c>
      <c r="AO54" s="469">
        <v>6.09</v>
      </c>
      <c r="AP54" s="470">
        <v>0.64</v>
      </c>
      <c r="AQ54" s="282">
        <v>35</v>
      </c>
    </row>
    <row r="55" spans="1:43" ht="12">
      <c r="A55" s="329"/>
      <c r="B55" s="329"/>
      <c r="C55" s="329"/>
      <c r="D55" s="329"/>
      <c r="E55" s="329"/>
      <c r="F55" s="329"/>
      <c r="U55" s="290"/>
      <c r="V55" s="329"/>
      <c r="W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111"/>
      <c r="AM55" s="329"/>
      <c r="AN55" s="329"/>
      <c r="AO55" s="329"/>
      <c r="AP55" s="329"/>
      <c r="AQ55" s="290"/>
    </row>
    <row r="56" spans="1:43" ht="12">
      <c r="A56" s="329"/>
      <c r="B56" s="329"/>
      <c r="C56" s="329"/>
      <c r="D56" s="329"/>
      <c r="E56" s="329"/>
      <c r="F56" s="329"/>
      <c r="U56" s="290"/>
      <c r="V56" s="329"/>
      <c r="W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111"/>
      <c r="AM56" s="329"/>
      <c r="AN56" s="329"/>
      <c r="AO56" s="329"/>
      <c r="AP56" s="329"/>
      <c r="AQ56" s="290"/>
    </row>
    <row r="57" spans="1:43" ht="12">
      <c r="A57" s="329"/>
      <c r="B57" s="329"/>
      <c r="C57" s="329"/>
      <c r="D57" s="329"/>
      <c r="E57" s="329"/>
      <c r="F57" s="329"/>
      <c r="U57" s="290"/>
      <c r="V57" s="329"/>
      <c r="W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111"/>
      <c r="AM57" s="329"/>
      <c r="AN57" s="329"/>
      <c r="AO57" s="329"/>
      <c r="AP57" s="329"/>
      <c r="AQ57" s="290"/>
    </row>
    <row r="58" spans="1:43" ht="12">
      <c r="A58" s="329"/>
      <c r="B58" s="329"/>
      <c r="C58" s="329"/>
      <c r="D58" s="329"/>
      <c r="E58" s="329"/>
      <c r="F58" s="329"/>
      <c r="U58" s="290"/>
      <c r="V58" s="329"/>
      <c r="W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111"/>
      <c r="AM58" s="329"/>
      <c r="AN58" s="329"/>
      <c r="AO58" s="329"/>
      <c r="AP58" s="329"/>
      <c r="AQ58" s="290"/>
    </row>
    <row r="59" spans="1:43" ht="12">
      <c r="A59" s="329"/>
      <c r="B59" s="329"/>
      <c r="C59" s="329"/>
      <c r="D59" s="329"/>
      <c r="E59" s="329"/>
      <c r="F59" s="329"/>
      <c r="U59" s="290"/>
      <c r="V59" s="329"/>
      <c r="W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111"/>
      <c r="AM59" s="329"/>
      <c r="AN59" s="329"/>
      <c r="AO59" s="329"/>
      <c r="AP59" s="329"/>
      <c r="AQ59" s="290"/>
    </row>
    <row r="60" spans="1:43" ht="12">
      <c r="A60" s="329"/>
      <c r="B60" s="329"/>
      <c r="C60" s="329"/>
      <c r="D60" s="329"/>
      <c r="E60" s="329"/>
      <c r="F60" s="329"/>
      <c r="U60" s="290"/>
      <c r="V60" s="329"/>
      <c r="W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111"/>
      <c r="AM60" s="329"/>
      <c r="AN60" s="329"/>
      <c r="AO60" s="329"/>
      <c r="AP60" s="329"/>
      <c r="AQ60" s="290"/>
    </row>
    <row r="66" spans="1:23" ht="12">
      <c r="A66" s="331"/>
      <c r="B66" s="331"/>
      <c r="V66" s="331"/>
      <c r="W66" s="331"/>
    </row>
  </sheetData>
  <sheetProtection/>
  <mergeCells count="51">
    <mergeCell ref="A6:B6"/>
    <mergeCell ref="G4:I4"/>
    <mergeCell ref="V6:W6"/>
    <mergeCell ref="A7:B7"/>
    <mergeCell ref="J4:L4"/>
    <mergeCell ref="N4:N5"/>
    <mergeCell ref="M4:M5"/>
    <mergeCell ref="A3:B5"/>
    <mergeCell ref="C3:M3"/>
    <mergeCell ref="C4:C5"/>
    <mergeCell ref="O4:Q4"/>
    <mergeCell ref="D4:F4"/>
    <mergeCell ref="V3:W5"/>
    <mergeCell ref="N3:T3"/>
    <mergeCell ref="R4:T4"/>
    <mergeCell ref="AP1:AP2"/>
    <mergeCell ref="V7:W7"/>
    <mergeCell ref="V9:W9"/>
    <mergeCell ref="V10:W10"/>
    <mergeCell ref="V16:W16"/>
    <mergeCell ref="V8:W8"/>
    <mergeCell ref="AB4:AB5"/>
    <mergeCell ref="X3:AA3"/>
    <mergeCell ref="AB3:AP3"/>
    <mergeCell ref="AC4:AE4"/>
    <mergeCell ref="A25:B25"/>
    <mergeCell ref="A17:B17"/>
    <mergeCell ref="A24:B24"/>
    <mergeCell ref="V17:W17"/>
    <mergeCell ref="V24:W24"/>
    <mergeCell ref="AL4:AP4"/>
    <mergeCell ref="AF4:AH4"/>
    <mergeCell ref="AI4:AK4"/>
    <mergeCell ref="AA4:AA5"/>
    <mergeCell ref="X4:Z4"/>
    <mergeCell ref="V46:W46"/>
    <mergeCell ref="V50:W50"/>
    <mergeCell ref="V42:W42"/>
    <mergeCell ref="V43:W43"/>
    <mergeCell ref="V32:W32"/>
    <mergeCell ref="V25:W25"/>
    <mergeCell ref="A50:B50"/>
    <mergeCell ref="A32:B32"/>
    <mergeCell ref="A42:B42"/>
    <mergeCell ref="A43:B43"/>
    <mergeCell ref="A46:B46"/>
    <mergeCell ref="M1:R2"/>
    <mergeCell ref="A16:B16"/>
    <mergeCell ref="A9:B9"/>
    <mergeCell ref="A10:B10"/>
    <mergeCell ref="A8:B8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74" r:id="rId1"/>
  <colBreaks count="3" manualBreakCount="3">
    <brk id="9" max="53" man="1"/>
    <brk id="21" max="58" man="1"/>
    <brk id="31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R59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F53" sqref="F53"/>
      <selection pane="topRight" activeCell="F53" sqref="F53"/>
      <selection pane="bottomLeft" activeCell="F53" sqref="F53"/>
      <selection pane="bottomRight" activeCell="AG72" sqref="AG72"/>
    </sheetView>
  </sheetViews>
  <sheetFormatPr defaultColWidth="10.75390625" defaultRowHeight="13.5"/>
  <cols>
    <col min="1" max="1" width="3.75390625" style="404" customWidth="1"/>
    <col min="2" max="2" width="20.50390625" style="404" customWidth="1"/>
    <col min="3" max="3" width="15.375" style="359" customWidth="1"/>
    <col min="4" max="4" width="16.25390625" style="359" customWidth="1"/>
    <col min="5" max="5" width="16.00390625" style="359" customWidth="1"/>
    <col min="6" max="6" width="15.75390625" style="359" customWidth="1"/>
    <col min="7" max="7" width="15.375" style="359" customWidth="1"/>
    <col min="8" max="8" width="16.875" style="359" customWidth="1"/>
    <col min="9" max="9" width="13.75390625" style="359" customWidth="1"/>
    <col min="10" max="10" width="15.625" style="359" customWidth="1"/>
    <col min="11" max="11" width="13.75390625" style="359" customWidth="1"/>
    <col min="12" max="12" width="15.875" style="359" customWidth="1"/>
    <col min="13" max="13" width="12.25390625" style="359" customWidth="1"/>
    <col min="14" max="14" width="15.625" style="359" customWidth="1"/>
    <col min="15" max="15" width="16.25390625" style="359" customWidth="1"/>
    <col min="16" max="17" width="16.00390625" style="359" customWidth="1"/>
    <col min="18" max="18" width="15.625" style="359" customWidth="1"/>
    <col min="19" max="19" width="16.25390625" style="349" customWidth="1"/>
    <col min="20" max="20" width="13.75390625" style="349" customWidth="1"/>
    <col min="21" max="21" width="5.00390625" style="403" customWidth="1"/>
    <col min="22" max="22" width="5.00390625" style="404" customWidth="1"/>
    <col min="23" max="23" width="19.375" style="404" customWidth="1"/>
    <col min="24" max="24" width="16.375" style="359" customWidth="1"/>
    <col min="25" max="25" width="15.00390625" style="349" customWidth="1"/>
    <col min="26" max="26" width="14.125" style="349" customWidth="1"/>
    <col min="27" max="27" width="13.625" style="359" customWidth="1"/>
    <col min="28" max="28" width="15.875" style="359" customWidth="1"/>
    <col min="29" max="29" width="16.125" style="359" customWidth="1"/>
    <col min="30" max="30" width="15.50390625" style="349" customWidth="1"/>
    <col min="31" max="31" width="15.875" style="349" customWidth="1"/>
    <col min="32" max="32" width="15.25390625" style="359" customWidth="1"/>
    <col min="33" max="33" width="15.25390625" style="349" customWidth="1"/>
    <col min="34" max="34" width="13.625" style="349" customWidth="1"/>
    <col min="35" max="35" width="15.875" style="349" customWidth="1"/>
    <col min="36" max="36" width="14.75390625" style="349" customWidth="1"/>
    <col min="37" max="37" width="15.50390625" style="349" customWidth="1"/>
    <col min="38" max="42" width="13.625" style="359" customWidth="1"/>
    <col min="43" max="43" width="4.50390625" style="230" customWidth="1"/>
    <col min="44" max="16384" width="10.75390625" style="359" customWidth="1"/>
  </cols>
  <sheetData>
    <row r="1" spans="1:44" s="348" customFormat="1" ht="18.75" customHeight="1">
      <c r="A1" s="107" t="s">
        <v>174</v>
      </c>
      <c r="B1" s="345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7"/>
      <c r="V1" s="107"/>
      <c r="W1" s="345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484"/>
      <c r="AR1" s="346"/>
    </row>
    <row r="2" spans="1:44" s="348" customFormat="1" ht="17.25" thickBot="1">
      <c r="A2" s="345"/>
      <c r="B2" s="345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238"/>
      <c r="V2" s="345"/>
      <c r="W2" s="345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9" t="s">
        <v>140</v>
      </c>
      <c r="AQ2" s="233"/>
      <c r="AR2" s="346"/>
    </row>
    <row r="3" spans="1:43" s="350" customFormat="1" ht="15" customHeight="1">
      <c r="A3" s="959" t="s">
        <v>60</v>
      </c>
      <c r="B3" s="1061"/>
      <c r="C3" s="1056" t="s">
        <v>153</v>
      </c>
      <c r="D3" s="1008"/>
      <c r="E3" s="1008"/>
      <c r="F3" s="1008"/>
      <c r="G3" s="1008"/>
      <c r="H3" s="1008"/>
      <c r="I3" s="1008"/>
      <c r="J3" s="1008"/>
      <c r="K3" s="1008"/>
      <c r="L3" s="1008"/>
      <c r="M3" s="1057"/>
      <c r="N3" s="1037" t="s">
        <v>164</v>
      </c>
      <c r="O3" s="1038"/>
      <c r="P3" s="1038"/>
      <c r="Q3" s="1038"/>
      <c r="R3" s="1038"/>
      <c r="S3" s="1038"/>
      <c r="T3" s="1039"/>
      <c r="U3" s="344"/>
      <c r="V3" s="959" t="s">
        <v>60</v>
      </c>
      <c r="W3" s="1069"/>
      <c r="X3" s="1037" t="s">
        <v>164</v>
      </c>
      <c r="Y3" s="1052"/>
      <c r="Z3" s="1052"/>
      <c r="AA3" s="1053"/>
      <c r="AB3" s="1037" t="s">
        <v>154</v>
      </c>
      <c r="AC3" s="1002"/>
      <c r="AD3" s="1002"/>
      <c r="AE3" s="1002"/>
      <c r="AF3" s="1002"/>
      <c r="AG3" s="1002"/>
      <c r="AH3" s="1002"/>
      <c r="AI3" s="1002"/>
      <c r="AJ3" s="1002"/>
      <c r="AK3" s="1002"/>
      <c r="AL3" s="1002"/>
      <c r="AM3" s="1002"/>
      <c r="AN3" s="1002"/>
      <c r="AO3" s="1002"/>
      <c r="AP3" s="1003"/>
      <c r="AQ3" s="485"/>
    </row>
    <row r="4" spans="1:43" s="350" customFormat="1" ht="15" customHeight="1">
      <c r="A4" s="961"/>
      <c r="B4" s="1062"/>
      <c r="C4" s="1064" t="s">
        <v>155</v>
      </c>
      <c r="D4" s="973" t="s">
        <v>156</v>
      </c>
      <c r="E4" s="1040"/>
      <c r="F4" s="1041"/>
      <c r="G4" s="973" t="s">
        <v>222</v>
      </c>
      <c r="H4" s="1040"/>
      <c r="I4" s="1041"/>
      <c r="J4" s="973" t="s">
        <v>223</v>
      </c>
      <c r="K4" s="1040"/>
      <c r="L4" s="1041"/>
      <c r="M4" s="1047" t="s">
        <v>224</v>
      </c>
      <c r="N4" s="1049" t="s">
        <v>165</v>
      </c>
      <c r="O4" s="973" t="s">
        <v>166</v>
      </c>
      <c r="P4" s="1040"/>
      <c r="Q4" s="1041"/>
      <c r="R4" s="1045" t="s">
        <v>167</v>
      </c>
      <c r="S4" s="1045"/>
      <c r="T4" s="1046"/>
      <c r="U4" s="351"/>
      <c r="V4" s="961"/>
      <c r="W4" s="1070"/>
      <c r="X4" s="1065" t="s">
        <v>168</v>
      </c>
      <c r="Y4" s="1045"/>
      <c r="Z4" s="1045"/>
      <c r="AA4" s="1054" t="s">
        <v>7</v>
      </c>
      <c r="AB4" s="1049" t="s">
        <v>158</v>
      </c>
      <c r="AC4" s="973" t="s">
        <v>159</v>
      </c>
      <c r="AD4" s="1040"/>
      <c r="AE4" s="1041"/>
      <c r="AF4" s="973" t="s">
        <v>222</v>
      </c>
      <c r="AG4" s="1040"/>
      <c r="AH4" s="1041"/>
      <c r="AI4" s="973" t="s">
        <v>223</v>
      </c>
      <c r="AJ4" s="1040"/>
      <c r="AK4" s="1041"/>
      <c r="AL4" s="973" t="s">
        <v>225</v>
      </c>
      <c r="AM4" s="1040"/>
      <c r="AN4" s="1040"/>
      <c r="AO4" s="1040"/>
      <c r="AP4" s="1066"/>
      <c r="AQ4" s="253"/>
    </row>
    <row r="5" spans="1:43" s="350" customFormat="1" ht="15" customHeight="1" thickBot="1">
      <c r="A5" s="963"/>
      <c r="B5" s="1063"/>
      <c r="C5" s="997"/>
      <c r="D5" s="235" t="s">
        <v>160</v>
      </c>
      <c r="E5" s="235" t="s">
        <v>226</v>
      </c>
      <c r="F5" s="235" t="s">
        <v>227</v>
      </c>
      <c r="G5" s="235" t="s">
        <v>161</v>
      </c>
      <c r="H5" s="235" t="s">
        <v>228</v>
      </c>
      <c r="I5" s="235" t="s">
        <v>229</v>
      </c>
      <c r="J5" s="352" t="s">
        <v>162</v>
      </c>
      <c r="K5" s="235" t="s">
        <v>230</v>
      </c>
      <c r="L5" s="235" t="s">
        <v>231</v>
      </c>
      <c r="M5" s="1048"/>
      <c r="N5" s="1050"/>
      <c r="O5" s="235" t="s">
        <v>169</v>
      </c>
      <c r="P5" s="235" t="s">
        <v>170</v>
      </c>
      <c r="Q5" s="235" t="s">
        <v>171</v>
      </c>
      <c r="R5" s="235" t="s">
        <v>172</v>
      </c>
      <c r="S5" s="235" t="s">
        <v>170</v>
      </c>
      <c r="T5" s="236" t="s">
        <v>171</v>
      </c>
      <c r="U5" s="259"/>
      <c r="V5" s="963"/>
      <c r="W5" s="1071"/>
      <c r="X5" s="418" t="s">
        <v>173</v>
      </c>
      <c r="Y5" s="235" t="s">
        <v>170</v>
      </c>
      <c r="Z5" s="235" t="s">
        <v>171</v>
      </c>
      <c r="AA5" s="1055"/>
      <c r="AB5" s="1050"/>
      <c r="AC5" s="235" t="s">
        <v>160</v>
      </c>
      <c r="AD5" s="235" t="s">
        <v>226</v>
      </c>
      <c r="AE5" s="352" t="s">
        <v>227</v>
      </c>
      <c r="AF5" s="420" t="s">
        <v>161</v>
      </c>
      <c r="AG5" s="353" t="s">
        <v>228</v>
      </c>
      <c r="AH5" s="235" t="s">
        <v>229</v>
      </c>
      <c r="AI5" s="235" t="s">
        <v>162</v>
      </c>
      <c r="AJ5" s="235" t="s">
        <v>230</v>
      </c>
      <c r="AK5" s="235" t="s">
        <v>231</v>
      </c>
      <c r="AL5" s="235" t="s">
        <v>163</v>
      </c>
      <c r="AM5" s="235" t="s">
        <v>148</v>
      </c>
      <c r="AN5" s="235" t="s">
        <v>149</v>
      </c>
      <c r="AO5" s="235" t="s">
        <v>56</v>
      </c>
      <c r="AP5" s="236" t="s">
        <v>150</v>
      </c>
      <c r="AQ5" s="258"/>
    </row>
    <row r="6" spans="1:44" ht="31.5" customHeight="1">
      <c r="A6" s="1043" t="s">
        <v>246</v>
      </c>
      <c r="B6" s="1044"/>
      <c r="C6" s="354">
        <v>75887517</v>
      </c>
      <c r="D6" s="355">
        <v>75868146</v>
      </c>
      <c r="E6" s="355">
        <v>52916051</v>
      </c>
      <c r="F6" s="355">
        <v>22952095</v>
      </c>
      <c r="G6" s="355">
        <v>50059445</v>
      </c>
      <c r="H6" s="356">
        <v>48927701</v>
      </c>
      <c r="I6" s="356">
        <v>1131744</v>
      </c>
      <c r="J6" s="357">
        <v>25808701</v>
      </c>
      <c r="K6" s="356">
        <v>3988350</v>
      </c>
      <c r="L6" s="356">
        <v>21820351</v>
      </c>
      <c r="M6" s="355">
        <v>19371</v>
      </c>
      <c r="N6" s="405">
        <v>23013191</v>
      </c>
      <c r="O6" s="355">
        <v>22993820</v>
      </c>
      <c r="P6" s="355">
        <v>12396608</v>
      </c>
      <c r="Q6" s="355">
        <v>10597212</v>
      </c>
      <c r="R6" s="355">
        <v>10907061</v>
      </c>
      <c r="S6" s="356">
        <v>9800988</v>
      </c>
      <c r="T6" s="406">
        <v>1106073</v>
      </c>
      <c r="U6" s="251" t="s">
        <v>247</v>
      </c>
      <c r="V6" s="955" t="s">
        <v>246</v>
      </c>
      <c r="W6" s="1067"/>
      <c r="X6" s="405">
        <v>12086759</v>
      </c>
      <c r="Y6" s="356">
        <v>2595620</v>
      </c>
      <c r="Z6" s="356">
        <v>9491139</v>
      </c>
      <c r="AA6" s="407">
        <v>19371</v>
      </c>
      <c r="AB6" s="405">
        <v>52874326</v>
      </c>
      <c r="AC6" s="355">
        <v>52874326</v>
      </c>
      <c r="AD6" s="355">
        <v>40519443</v>
      </c>
      <c r="AE6" s="357">
        <v>12354883</v>
      </c>
      <c r="AF6" s="421">
        <v>39152384</v>
      </c>
      <c r="AG6" s="358">
        <v>39126713</v>
      </c>
      <c r="AH6" s="355">
        <v>25671</v>
      </c>
      <c r="AI6" s="355">
        <v>13721942</v>
      </c>
      <c r="AJ6" s="355">
        <v>1392730</v>
      </c>
      <c r="AK6" s="355">
        <v>12329212</v>
      </c>
      <c r="AL6" s="254">
        <v>0</v>
      </c>
      <c r="AM6" s="254">
        <v>0</v>
      </c>
      <c r="AN6" s="254">
        <v>0</v>
      </c>
      <c r="AO6" s="254">
        <v>0</v>
      </c>
      <c r="AP6" s="257">
        <v>0</v>
      </c>
      <c r="AQ6" s="445" t="s">
        <v>247</v>
      </c>
      <c r="AR6" s="349"/>
    </row>
    <row r="7" spans="1:44" ht="31.5" customHeight="1">
      <c r="A7" s="955" t="s">
        <v>248</v>
      </c>
      <c r="B7" s="1058"/>
      <c r="C7" s="354">
        <v>82040830</v>
      </c>
      <c r="D7" s="355">
        <v>82021666</v>
      </c>
      <c r="E7" s="355">
        <v>57605726</v>
      </c>
      <c r="F7" s="355">
        <v>24415940</v>
      </c>
      <c r="G7" s="355">
        <v>55030576</v>
      </c>
      <c r="H7" s="355">
        <v>53567224</v>
      </c>
      <c r="I7" s="355">
        <v>1463352</v>
      </c>
      <c r="J7" s="357">
        <v>26991090</v>
      </c>
      <c r="K7" s="355">
        <v>4038502</v>
      </c>
      <c r="L7" s="355">
        <v>22952588</v>
      </c>
      <c r="M7" s="355">
        <v>19164</v>
      </c>
      <c r="N7" s="405">
        <v>24295235</v>
      </c>
      <c r="O7" s="355">
        <v>24276071</v>
      </c>
      <c r="P7" s="355">
        <v>12997093</v>
      </c>
      <c r="Q7" s="355">
        <v>11278978</v>
      </c>
      <c r="R7" s="355">
        <v>11769876</v>
      </c>
      <c r="S7" s="355">
        <v>10353638</v>
      </c>
      <c r="T7" s="407">
        <v>1416238</v>
      </c>
      <c r="U7" s="251" t="s">
        <v>249</v>
      </c>
      <c r="V7" s="955" t="s">
        <v>248</v>
      </c>
      <c r="W7" s="1067"/>
      <c r="X7" s="405">
        <v>12506195</v>
      </c>
      <c r="Y7" s="355">
        <v>2643455</v>
      </c>
      <c r="Z7" s="355">
        <v>9862740</v>
      </c>
      <c r="AA7" s="407">
        <v>19164</v>
      </c>
      <c r="AB7" s="405">
        <v>57745595</v>
      </c>
      <c r="AC7" s="355">
        <v>57745595</v>
      </c>
      <c r="AD7" s="355">
        <v>44608633</v>
      </c>
      <c r="AE7" s="357">
        <v>13136962</v>
      </c>
      <c r="AF7" s="421">
        <v>43260700</v>
      </c>
      <c r="AG7" s="358">
        <v>43213586</v>
      </c>
      <c r="AH7" s="355">
        <v>47114</v>
      </c>
      <c r="AI7" s="355">
        <v>14484895</v>
      </c>
      <c r="AJ7" s="355">
        <v>1395047</v>
      </c>
      <c r="AK7" s="355">
        <v>13089848</v>
      </c>
      <c r="AL7" s="254">
        <v>0</v>
      </c>
      <c r="AM7" s="254">
        <v>0</v>
      </c>
      <c r="AN7" s="254">
        <v>0</v>
      </c>
      <c r="AO7" s="254">
        <v>0</v>
      </c>
      <c r="AP7" s="257">
        <v>0</v>
      </c>
      <c r="AQ7" s="445" t="s">
        <v>249</v>
      </c>
      <c r="AR7" s="349"/>
    </row>
    <row r="8" spans="1:44" s="368" customFormat="1" ht="31.5" customHeight="1" thickBot="1">
      <c r="A8" s="957" t="s">
        <v>398</v>
      </c>
      <c r="B8" s="1059"/>
      <c r="C8" s="360">
        <f>D8+M8</f>
        <v>86450563</v>
      </c>
      <c r="D8" s="361">
        <f>E8+F8</f>
        <v>86431577</v>
      </c>
      <c r="E8" s="361">
        <f>H8+K8</f>
        <v>60804235</v>
      </c>
      <c r="F8" s="361">
        <f>I8+L8</f>
        <v>25627342</v>
      </c>
      <c r="G8" s="361">
        <f>H8+I8</f>
        <v>58240642</v>
      </c>
      <c r="H8" s="361">
        <f>S8+AG8</f>
        <v>56697860</v>
      </c>
      <c r="I8" s="361">
        <f>T8+AH8</f>
        <v>1542782</v>
      </c>
      <c r="J8" s="362">
        <f>K8+L8</f>
        <v>28190935</v>
      </c>
      <c r="K8" s="361">
        <f>Y8+AJ8</f>
        <v>4106375</v>
      </c>
      <c r="L8" s="361">
        <f>Z8+AK8</f>
        <v>24084560</v>
      </c>
      <c r="M8" s="361">
        <f>M9+M16+M24+M42</f>
        <v>18986</v>
      </c>
      <c r="N8" s="408">
        <f>O8+AA8</f>
        <v>25071025</v>
      </c>
      <c r="O8" s="361">
        <f>SUM(P8:Q8)</f>
        <v>25052039</v>
      </c>
      <c r="P8" s="361">
        <f>S8+Y8</f>
        <v>13471828</v>
      </c>
      <c r="Q8" s="361">
        <f>T8+Z8</f>
        <v>11580211</v>
      </c>
      <c r="R8" s="365">
        <f>S8+T8</f>
        <v>12243972</v>
      </c>
      <c r="S8" s="361">
        <f>S9+S16+S24+S42</f>
        <v>10768389</v>
      </c>
      <c r="T8" s="409">
        <f>T9+T16+T24+T42</f>
        <v>1475583</v>
      </c>
      <c r="U8" s="364" t="s">
        <v>399</v>
      </c>
      <c r="V8" s="957" t="s">
        <v>398</v>
      </c>
      <c r="W8" s="1034"/>
      <c r="X8" s="411">
        <f>Z8+Y8</f>
        <v>12808067</v>
      </c>
      <c r="Y8" s="361">
        <f>Y9+Y16+Y24+Y42</f>
        <v>2703439</v>
      </c>
      <c r="Z8" s="361">
        <f>Z9+Z16+Z24+Z42</f>
        <v>10104628</v>
      </c>
      <c r="AA8" s="419">
        <f>AA9+AA16+AA24+AA42</f>
        <v>18986</v>
      </c>
      <c r="AB8" s="408">
        <f>+AC8+AL8</f>
        <v>61379538</v>
      </c>
      <c r="AC8" s="361">
        <f>AD8+AE8</f>
        <v>61379538</v>
      </c>
      <c r="AD8" s="361">
        <f>AG8+AJ8</f>
        <v>47332407</v>
      </c>
      <c r="AE8" s="362">
        <f>AH8+AK8</f>
        <v>14047131</v>
      </c>
      <c r="AF8" s="422">
        <f>AG8+AH8</f>
        <v>45996670</v>
      </c>
      <c r="AG8" s="363">
        <f>+AG9+AG16+AG24+AG42</f>
        <v>45929471</v>
      </c>
      <c r="AH8" s="361">
        <f>+AH9+AH16+AH24+AH42</f>
        <v>67199</v>
      </c>
      <c r="AI8" s="365">
        <f>AJ8+AK8</f>
        <v>15382868</v>
      </c>
      <c r="AJ8" s="361">
        <f>+AJ9+AJ16+AJ24+AJ42</f>
        <v>1402936</v>
      </c>
      <c r="AK8" s="361">
        <f>+AK9+AK16+AK24+AK42</f>
        <v>13979932</v>
      </c>
      <c r="AL8" s="365">
        <v>0</v>
      </c>
      <c r="AM8" s="365">
        <v>0</v>
      </c>
      <c r="AN8" s="365">
        <v>0</v>
      </c>
      <c r="AO8" s="365">
        <v>0</v>
      </c>
      <c r="AP8" s="366">
        <v>0</v>
      </c>
      <c r="AQ8" s="541" t="s">
        <v>400</v>
      </c>
      <c r="AR8" s="367"/>
    </row>
    <row r="9" spans="1:44" s="375" customFormat="1" ht="24.75" customHeight="1">
      <c r="A9" s="933" t="s">
        <v>134</v>
      </c>
      <c r="B9" s="1060"/>
      <c r="C9" s="410">
        <f aca="true" t="shared" si="0" ref="C9:T9">C10</f>
        <v>22710261</v>
      </c>
      <c r="D9" s="370">
        <f t="shared" si="0"/>
        <v>22708646</v>
      </c>
      <c r="E9" s="370">
        <f t="shared" si="0"/>
        <v>12998351</v>
      </c>
      <c r="F9" s="370">
        <f t="shared" si="0"/>
        <v>9710295</v>
      </c>
      <c r="G9" s="370">
        <f t="shared" si="0"/>
        <v>10999618</v>
      </c>
      <c r="H9" s="370">
        <f t="shared" si="0"/>
        <v>10374161</v>
      </c>
      <c r="I9" s="410">
        <f t="shared" si="0"/>
        <v>625457</v>
      </c>
      <c r="J9" s="371">
        <f t="shared" si="0"/>
        <v>11709028</v>
      </c>
      <c r="K9" s="370">
        <f t="shared" si="0"/>
        <v>2624190</v>
      </c>
      <c r="L9" s="370">
        <f t="shared" si="0"/>
        <v>9084838</v>
      </c>
      <c r="M9" s="370">
        <f t="shared" si="0"/>
        <v>1615</v>
      </c>
      <c r="N9" s="410">
        <f t="shared" si="0"/>
        <v>11738034</v>
      </c>
      <c r="O9" s="370">
        <f t="shared" si="0"/>
        <v>11736419</v>
      </c>
      <c r="P9" s="370">
        <f t="shared" si="0"/>
        <v>5784165</v>
      </c>
      <c r="Q9" s="370">
        <f t="shared" si="0"/>
        <v>5952254</v>
      </c>
      <c r="R9" s="370">
        <f t="shared" si="0"/>
        <v>5109223</v>
      </c>
      <c r="S9" s="370">
        <f t="shared" si="0"/>
        <v>4491864</v>
      </c>
      <c r="T9" s="373">
        <f t="shared" si="0"/>
        <v>617359</v>
      </c>
      <c r="U9" s="372"/>
      <c r="V9" s="933" t="s">
        <v>134</v>
      </c>
      <c r="W9" s="1068"/>
      <c r="X9" s="410">
        <f aca="true" t="shared" si="1" ref="X9:AK9">X10</f>
        <v>6627196</v>
      </c>
      <c r="Y9" s="370">
        <f t="shared" si="1"/>
        <v>1292301</v>
      </c>
      <c r="Z9" s="370">
        <f t="shared" si="1"/>
        <v>5334895</v>
      </c>
      <c r="AA9" s="373">
        <f t="shared" si="1"/>
        <v>1615</v>
      </c>
      <c r="AB9" s="410">
        <f t="shared" si="1"/>
        <v>10972227</v>
      </c>
      <c r="AC9" s="370">
        <f t="shared" si="1"/>
        <v>10972227</v>
      </c>
      <c r="AD9" s="370">
        <f t="shared" si="1"/>
        <v>7214186</v>
      </c>
      <c r="AE9" s="371">
        <f t="shared" si="1"/>
        <v>3758041</v>
      </c>
      <c r="AF9" s="423">
        <f t="shared" si="1"/>
        <v>5890395</v>
      </c>
      <c r="AG9" s="369">
        <f>AG10</f>
        <v>5882297</v>
      </c>
      <c r="AH9" s="370">
        <f t="shared" si="1"/>
        <v>8098</v>
      </c>
      <c r="AI9" s="370">
        <f t="shared" si="1"/>
        <v>5081832</v>
      </c>
      <c r="AJ9" s="370">
        <f t="shared" si="1"/>
        <v>1331889</v>
      </c>
      <c r="AK9" s="370">
        <f t="shared" si="1"/>
        <v>3749943</v>
      </c>
      <c r="AL9" s="370">
        <v>0</v>
      </c>
      <c r="AM9" s="370">
        <v>0</v>
      </c>
      <c r="AN9" s="370">
        <v>0</v>
      </c>
      <c r="AO9" s="370">
        <v>0</v>
      </c>
      <c r="AP9" s="373">
        <v>0</v>
      </c>
      <c r="AQ9" s="486"/>
      <c r="AR9" s="374"/>
    </row>
    <row r="10" spans="1:44" s="380" customFormat="1" ht="22.5" customHeight="1">
      <c r="A10" s="927" t="s">
        <v>382</v>
      </c>
      <c r="B10" s="1042"/>
      <c r="C10" s="411">
        <f aca="true" t="shared" si="2" ref="C10:C15">D10+M10</f>
        <v>22710261</v>
      </c>
      <c r="D10" s="365">
        <f aca="true" t="shared" si="3" ref="D10:D15">E10+F10</f>
        <v>22708646</v>
      </c>
      <c r="E10" s="365">
        <f aca="true" t="shared" si="4" ref="E10:F15">H10+K10</f>
        <v>12998351</v>
      </c>
      <c r="F10" s="365">
        <f t="shared" si="4"/>
        <v>9710295</v>
      </c>
      <c r="G10" s="365">
        <f aca="true" t="shared" si="5" ref="G10:G15">H10+I10</f>
        <v>10999618</v>
      </c>
      <c r="H10" s="365">
        <f aca="true" t="shared" si="6" ref="H10:I15">S10+AG10</f>
        <v>10374161</v>
      </c>
      <c r="I10" s="411">
        <f t="shared" si="6"/>
        <v>625457</v>
      </c>
      <c r="J10" s="377">
        <f aca="true" t="shared" si="7" ref="J10:J15">K10+L10</f>
        <v>11709028</v>
      </c>
      <c r="K10" s="365">
        <f aca="true" t="shared" si="8" ref="K10:L13">Y10+AJ10</f>
        <v>2624190</v>
      </c>
      <c r="L10" s="365">
        <f t="shared" si="8"/>
        <v>9084838</v>
      </c>
      <c r="M10" s="365">
        <f>SUM(M11:M15)</f>
        <v>1615</v>
      </c>
      <c r="N10" s="411">
        <f aca="true" t="shared" si="9" ref="N10:N15">O10+AA10</f>
        <v>11738034</v>
      </c>
      <c r="O10" s="365">
        <f>P10+Q10</f>
        <v>11736419</v>
      </c>
      <c r="P10" s="365">
        <f aca="true" t="shared" si="10" ref="P10:Q15">S10+Y10</f>
        <v>5784165</v>
      </c>
      <c r="Q10" s="365">
        <f t="shared" si="10"/>
        <v>5952254</v>
      </c>
      <c r="R10" s="365">
        <f aca="true" t="shared" si="11" ref="R10:R15">S10+T10</f>
        <v>5109223</v>
      </c>
      <c r="S10" s="365">
        <f>SUM(S11:S15)</f>
        <v>4491864</v>
      </c>
      <c r="T10" s="366">
        <f>SUM(T11:T15)</f>
        <v>617359</v>
      </c>
      <c r="U10" s="378"/>
      <c r="V10" s="927" t="s">
        <v>382</v>
      </c>
      <c r="W10" s="1035"/>
      <c r="X10" s="411">
        <f>Z10+Y10</f>
        <v>6627196</v>
      </c>
      <c r="Y10" s="365">
        <f>SUM(Y11:Y15)</f>
        <v>1292301</v>
      </c>
      <c r="Z10" s="365">
        <f>SUM(Z11:Z15)</f>
        <v>5334895</v>
      </c>
      <c r="AA10" s="366">
        <f>SUM(AA11:AA15)</f>
        <v>1615</v>
      </c>
      <c r="AB10" s="408">
        <f aca="true" t="shared" si="12" ref="AB10:AB15">+AC10+AL10</f>
        <v>10972227</v>
      </c>
      <c r="AC10" s="365">
        <f aca="true" t="shared" si="13" ref="AC10:AC15">AD10+AE10</f>
        <v>10972227</v>
      </c>
      <c r="AD10" s="365">
        <f aca="true" t="shared" si="14" ref="AD10:AD15">AG10+AJ10</f>
        <v>7214186</v>
      </c>
      <c r="AE10" s="377">
        <f aca="true" t="shared" si="15" ref="AE10:AE15">AH10+AK10</f>
        <v>3758041</v>
      </c>
      <c r="AF10" s="422">
        <f aca="true" t="shared" si="16" ref="AF10:AF15">AG10+AH10</f>
        <v>5890395</v>
      </c>
      <c r="AG10" s="376">
        <f>SUM(AG11:AG15)</f>
        <v>5882297</v>
      </c>
      <c r="AH10" s="365">
        <f>SUM(AH11:AH15)</f>
        <v>8098</v>
      </c>
      <c r="AI10" s="365">
        <f aca="true" t="shared" si="17" ref="AI10:AI15">AJ10+AK10</f>
        <v>5081832</v>
      </c>
      <c r="AJ10" s="365">
        <f>SUM(AJ11:AJ15)</f>
        <v>1331889</v>
      </c>
      <c r="AK10" s="365">
        <f>SUM(AK11:AK15)</f>
        <v>3749943</v>
      </c>
      <c r="AL10" s="365">
        <v>0</v>
      </c>
      <c r="AM10" s="365">
        <v>0</v>
      </c>
      <c r="AN10" s="365">
        <v>0</v>
      </c>
      <c r="AO10" s="365">
        <v>0</v>
      </c>
      <c r="AP10" s="366">
        <v>0</v>
      </c>
      <c r="AQ10" s="487"/>
      <c r="AR10" s="379"/>
    </row>
    <row r="11" spans="1:44" ht="20.25" customHeight="1">
      <c r="A11" s="809">
        <v>1</v>
      </c>
      <c r="B11" s="439" t="s">
        <v>102</v>
      </c>
      <c r="C11" s="412">
        <f t="shared" si="2"/>
        <v>5922892</v>
      </c>
      <c r="D11" s="254">
        <f t="shared" si="3"/>
        <v>5922842</v>
      </c>
      <c r="E11" s="254">
        <f t="shared" si="4"/>
        <v>3617981</v>
      </c>
      <c r="F11" s="254">
        <f t="shared" si="4"/>
        <v>2304861</v>
      </c>
      <c r="G11" s="254">
        <f t="shared" si="5"/>
        <v>3694343</v>
      </c>
      <c r="H11" s="254">
        <f t="shared" si="6"/>
        <v>3365697</v>
      </c>
      <c r="I11" s="412">
        <f t="shared" si="6"/>
        <v>328646</v>
      </c>
      <c r="J11" s="382">
        <f t="shared" si="7"/>
        <v>2228499</v>
      </c>
      <c r="K11" s="254">
        <f t="shared" si="8"/>
        <v>252284</v>
      </c>
      <c r="L11" s="254">
        <f t="shared" si="8"/>
        <v>1976215</v>
      </c>
      <c r="M11" s="254">
        <f>AA11+AL11</f>
        <v>50</v>
      </c>
      <c r="N11" s="412">
        <f t="shared" si="9"/>
        <v>3715315</v>
      </c>
      <c r="O11" s="254">
        <f>SUM(P11:Q11)</f>
        <v>3715265</v>
      </c>
      <c r="P11" s="254">
        <f t="shared" si="10"/>
        <v>1962752</v>
      </c>
      <c r="Q11" s="254">
        <f t="shared" si="10"/>
        <v>1752513</v>
      </c>
      <c r="R11" s="254">
        <f t="shared" si="11"/>
        <v>2037522</v>
      </c>
      <c r="S11" s="254">
        <v>1710937</v>
      </c>
      <c r="T11" s="257">
        <v>326585</v>
      </c>
      <c r="U11" s="238">
        <v>1</v>
      </c>
      <c r="V11" s="809">
        <v>1</v>
      </c>
      <c r="W11" s="812" t="s">
        <v>102</v>
      </c>
      <c r="X11" s="412">
        <f>Y11+Z11</f>
        <v>1677743</v>
      </c>
      <c r="Y11" s="254">
        <v>251815</v>
      </c>
      <c r="Z11" s="254">
        <v>1425928</v>
      </c>
      <c r="AA11" s="257">
        <v>50</v>
      </c>
      <c r="AB11" s="412">
        <f t="shared" si="12"/>
        <v>2207577</v>
      </c>
      <c r="AC11" s="254">
        <f t="shared" si="13"/>
        <v>2207577</v>
      </c>
      <c r="AD11" s="254">
        <f t="shared" si="14"/>
        <v>1655229</v>
      </c>
      <c r="AE11" s="382">
        <f t="shared" si="15"/>
        <v>552348</v>
      </c>
      <c r="AF11" s="424">
        <f t="shared" si="16"/>
        <v>1656821</v>
      </c>
      <c r="AG11" s="381">
        <v>1654760</v>
      </c>
      <c r="AH11" s="254">
        <v>2061</v>
      </c>
      <c r="AI11" s="254">
        <f t="shared" si="17"/>
        <v>550756</v>
      </c>
      <c r="AJ11" s="254">
        <v>469</v>
      </c>
      <c r="AK11" s="254">
        <v>550287</v>
      </c>
      <c r="AL11" s="254">
        <v>0</v>
      </c>
      <c r="AM11" s="254">
        <v>0</v>
      </c>
      <c r="AN11" s="254">
        <v>0</v>
      </c>
      <c r="AO11" s="254">
        <v>0</v>
      </c>
      <c r="AP11" s="257">
        <v>0</v>
      </c>
      <c r="AQ11" s="233">
        <v>1</v>
      </c>
      <c r="AR11" s="349"/>
    </row>
    <row r="12" spans="1:44" ht="20.25" customHeight="1">
      <c r="A12" s="809">
        <v>2</v>
      </c>
      <c r="B12" s="439" t="s">
        <v>103</v>
      </c>
      <c r="C12" s="412">
        <f t="shared" si="2"/>
        <v>6096822</v>
      </c>
      <c r="D12" s="254">
        <f t="shared" si="3"/>
        <v>6096687</v>
      </c>
      <c r="E12" s="254">
        <f t="shared" si="4"/>
        <v>3721405</v>
      </c>
      <c r="F12" s="254">
        <f t="shared" si="4"/>
        <v>2375282</v>
      </c>
      <c r="G12" s="254">
        <f t="shared" si="5"/>
        <v>2255702</v>
      </c>
      <c r="H12" s="254">
        <f t="shared" si="6"/>
        <v>2151044</v>
      </c>
      <c r="I12" s="412">
        <f t="shared" si="6"/>
        <v>104658</v>
      </c>
      <c r="J12" s="382">
        <f t="shared" si="7"/>
        <v>3840985</v>
      </c>
      <c r="K12" s="254">
        <f t="shared" si="8"/>
        <v>1570361</v>
      </c>
      <c r="L12" s="254">
        <f t="shared" si="8"/>
        <v>2270624</v>
      </c>
      <c r="M12" s="254">
        <f>AA12+AL12</f>
        <v>135</v>
      </c>
      <c r="N12" s="412">
        <f t="shared" si="9"/>
        <v>1414735</v>
      </c>
      <c r="O12" s="254">
        <f>SUM(P12:Q12)</f>
        <v>1414600</v>
      </c>
      <c r="P12" s="254">
        <f t="shared" si="10"/>
        <v>938819</v>
      </c>
      <c r="Q12" s="254">
        <f t="shared" si="10"/>
        <v>475781</v>
      </c>
      <c r="R12" s="254">
        <f t="shared" si="11"/>
        <v>783278</v>
      </c>
      <c r="S12" s="254">
        <v>678842</v>
      </c>
      <c r="T12" s="257">
        <v>104436</v>
      </c>
      <c r="U12" s="238">
        <v>2</v>
      </c>
      <c r="V12" s="809">
        <v>2</v>
      </c>
      <c r="W12" s="812" t="s">
        <v>103</v>
      </c>
      <c r="X12" s="412">
        <f>Y12+Z12</f>
        <v>631322</v>
      </c>
      <c r="Y12" s="254">
        <v>259977</v>
      </c>
      <c r="Z12" s="254">
        <v>371345</v>
      </c>
      <c r="AA12" s="257">
        <v>135</v>
      </c>
      <c r="AB12" s="412">
        <f t="shared" si="12"/>
        <v>4682087</v>
      </c>
      <c r="AC12" s="254">
        <f t="shared" si="13"/>
        <v>4682087</v>
      </c>
      <c r="AD12" s="254">
        <f t="shared" si="14"/>
        <v>2782586</v>
      </c>
      <c r="AE12" s="382">
        <f t="shared" si="15"/>
        <v>1899501</v>
      </c>
      <c r="AF12" s="424">
        <f t="shared" si="16"/>
        <v>1472424</v>
      </c>
      <c r="AG12" s="381">
        <v>1472202</v>
      </c>
      <c r="AH12" s="254">
        <v>222</v>
      </c>
      <c r="AI12" s="254">
        <f t="shared" si="17"/>
        <v>3209663</v>
      </c>
      <c r="AJ12" s="254">
        <v>1310384</v>
      </c>
      <c r="AK12" s="254">
        <v>1899279</v>
      </c>
      <c r="AL12" s="254">
        <v>0</v>
      </c>
      <c r="AM12" s="254">
        <v>0</v>
      </c>
      <c r="AN12" s="254">
        <v>0</v>
      </c>
      <c r="AO12" s="254">
        <v>0</v>
      </c>
      <c r="AP12" s="257">
        <v>0</v>
      </c>
      <c r="AQ12" s="233">
        <v>2</v>
      </c>
      <c r="AR12" s="349"/>
    </row>
    <row r="13" spans="1:44" ht="20.25" customHeight="1">
      <c r="A13" s="809">
        <v>3</v>
      </c>
      <c r="B13" s="439" t="s">
        <v>104</v>
      </c>
      <c r="C13" s="412">
        <f t="shared" si="2"/>
        <v>1507056</v>
      </c>
      <c r="D13" s="254">
        <f t="shared" si="3"/>
        <v>1506856</v>
      </c>
      <c r="E13" s="254">
        <f t="shared" si="4"/>
        <v>1135008</v>
      </c>
      <c r="F13" s="254">
        <f t="shared" si="4"/>
        <v>371848</v>
      </c>
      <c r="G13" s="254">
        <f t="shared" si="5"/>
        <v>1170694</v>
      </c>
      <c r="H13" s="254">
        <f t="shared" si="6"/>
        <v>1106684</v>
      </c>
      <c r="I13" s="412">
        <f t="shared" si="6"/>
        <v>64010</v>
      </c>
      <c r="J13" s="382">
        <f t="shared" si="7"/>
        <v>336162</v>
      </c>
      <c r="K13" s="254">
        <f t="shared" si="8"/>
        <v>28324</v>
      </c>
      <c r="L13" s="254">
        <f t="shared" si="8"/>
        <v>307838</v>
      </c>
      <c r="M13" s="254">
        <f>AA13+AL13</f>
        <v>200</v>
      </c>
      <c r="N13" s="412">
        <f t="shared" si="9"/>
        <v>656319</v>
      </c>
      <c r="O13" s="254">
        <f>SUM(P13:Q13)</f>
        <v>656119</v>
      </c>
      <c r="P13" s="254">
        <f t="shared" si="10"/>
        <v>401683</v>
      </c>
      <c r="Q13" s="254">
        <f t="shared" si="10"/>
        <v>254436</v>
      </c>
      <c r="R13" s="254">
        <f t="shared" si="11"/>
        <v>440717</v>
      </c>
      <c r="S13" s="254">
        <v>379383</v>
      </c>
      <c r="T13" s="257">
        <v>61334</v>
      </c>
      <c r="U13" s="238">
        <v>3</v>
      </c>
      <c r="V13" s="809">
        <v>3</v>
      </c>
      <c r="W13" s="812" t="s">
        <v>104</v>
      </c>
      <c r="X13" s="412">
        <f>Y13+Z13</f>
        <v>215402</v>
      </c>
      <c r="Y13" s="254">
        <v>22300</v>
      </c>
      <c r="Z13" s="254">
        <v>193102</v>
      </c>
      <c r="AA13" s="257">
        <v>200</v>
      </c>
      <c r="AB13" s="412">
        <f t="shared" si="12"/>
        <v>850737</v>
      </c>
      <c r="AC13" s="254">
        <f t="shared" si="13"/>
        <v>850737</v>
      </c>
      <c r="AD13" s="254">
        <f t="shared" si="14"/>
        <v>733325</v>
      </c>
      <c r="AE13" s="382">
        <f t="shared" si="15"/>
        <v>117412</v>
      </c>
      <c r="AF13" s="424">
        <f t="shared" si="16"/>
        <v>729977</v>
      </c>
      <c r="AG13" s="381">
        <v>727301</v>
      </c>
      <c r="AH13" s="254">
        <v>2676</v>
      </c>
      <c r="AI13" s="254">
        <f t="shared" si="17"/>
        <v>120760</v>
      </c>
      <c r="AJ13" s="254">
        <v>6024</v>
      </c>
      <c r="AK13" s="254">
        <v>114736</v>
      </c>
      <c r="AL13" s="254">
        <v>0</v>
      </c>
      <c r="AM13" s="254">
        <v>0</v>
      </c>
      <c r="AN13" s="254">
        <v>0</v>
      </c>
      <c r="AO13" s="254">
        <v>0</v>
      </c>
      <c r="AP13" s="257">
        <v>0</v>
      </c>
      <c r="AQ13" s="233">
        <v>3</v>
      </c>
      <c r="AR13" s="349"/>
    </row>
    <row r="14" spans="1:44" ht="20.25" customHeight="1">
      <c r="A14" s="809">
        <v>4</v>
      </c>
      <c r="B14" s="439" t="s">
        <v>105</v>
      </c>
      <c r="C14" s="412">
        <f t="shared" si="2"/>
        <v>563692</v>
      </c>
      <c r="D14" s="254">
        <f t="shared" si="3"/>
        <v>563692</v>
      </c>
      <c r="E14" s="254">
        <f t="shared" si="4"/>
        <v>475223</v>
      </c>
      <c r="F14" s="254">
        <f t="shared" si="4"/>
        <v>88469</v>
      </c>
      <c r="G14" s="254">
        <f t="shared" si="5"/>
        <v>491283</v>
      </c>
      <c r="H14" s="254">
        <f t="shared" si="6"/>
        <v>474003</v>
      </c>
      <c r="I14" s="412">
        <f t="shared" si="6"/>
        <v>17280</v>
      </c>
      <c r="J14" s="382">
        <f t="shared" si="7"/>
        <v>72409</v>
      </c>
      <c r="K14" s="254">
        <f aca="true" t="shared" si="18" ref="K14:M15">Y14+AJ14</f>
        <v>1220</v>
      </c>
      <c r="L14" s="254">
        <f t="shared" si="18"/>
        <v>71189</v>
      </c>
      <c r="M14" s="254">
        <f t="shared" si="18"/>
        <v>0</v>
      </c>
      <c r="N14" s="412">
        <f t="shared" si="9"/>
        <v>176250</v>
      </c>
      <c r="O14" s="254">
        <f>SUM(P14:Q14)</f>
        <v>176250</v>
      </c>
      <c r="P14" s="254">
        <f t="shared" si="10"/>
        <v>154980</v>
      </c>
      <c r="Q14" s="254">
        <f t="shared" si="10"/>
        <v>21270</v>
      </c>
      <c r="R14" s="254">
        <f t="shared" si="11"/>
        <v>169677</v>
      </c>
      <c r="S14" s="254">
        <v>153885</v>
      </c>
      <c r="T14" s="257">
        <v>15792</v>
      </c>
      <c r="U14" s="238">
        <v>4</v>
      </c>
      <c r="V14" s="809">
        <v>4</v>
      </c>
      <c r="W14" s="812" t="s">
        <v>105</v>
      </c>
      <c r="X14" s="412">
        <f>Y14+Z14</f>
        <v>6573</v>
      </c>
      <c r="Y14" s="254">
        <v>1095</v>
      </c>
      <c r="Z14" s="254">
        <v>5478</v>
      </c>
      <c r="AA14" s="257">
        <v>0</v>
      </c>
      <c r="AB14" s="412">
        <f t="shared" si="12"/>
        <v>387442</v>
      </c>
      <c r="AC14" s="254">
        <f t="shared" si="13"/>
        <v>387442</v>
      </c>
      <c r="AD14" s="254">
        <f t="shared" si="14"/>
        <v>320243</v>
      </c>
      <c r="AE14" s="382">
        <f t="shared" si="15"/>
        <v>67199</v>
      </c>
      <c r="AF14" s="424">
        <f t="shared" si="16"/>
        <v>321606</v>
      </c>
      <c r="AG14" s="381">
        <v>320118</v>
      </c>
      <c r="AH14" s="254">
        <v>1488</v>
      </c>
      <c r="AI14" s="254">
        <f t="shared" si="17"/>
        <v>65836</v>
      </c>
      <c r="AJ14" s="254">
        <v>125</v>
      </c>
      <c r="AK14" s="254">
        <v>65711</v>
      </c>
      <c r="AL14" s="254">
        <v>0</v>
      </c>
      <c r="AM14" s="254">
        <v>0</v>
      </c>
      <c r="AN14" s="254">
        <v>0</v>
      </c>
      <c r="AO14" s="254">
        <v>0</v>
      </c>
      <c r="AP14" s="257">
        <v>0</v>
      </c>
      <c r="AQ14" s="233">
        <v>4</v>
      </c>
      <c r="AR14" s="349"/>
    </row>
    <row r="15" spans="1:44" ht="20.25" customHeight="1" thickBot="1">
      <c r="A15" s="809">
        <v>5</v>
      </c>
      <c r="B15" s="439" t="s">
        <v>180</v>
      </c>
      <c r="C15" s="412">
        <f t="shared" si="2"/>
        <v>8619799</v>
      </c>
      <c r="D15" s="254">
        <f t="shared" si="3"/>
        <v>8618569</v>
      </c>
      <c r="E15" s="254">
        <f t="shared" si="4"/>
        <v>4048734</v>
      </c>
      <c r="F15" s="254">
        <f t="shared" si="4"/>
        <v>4569835</v>
      </c>
      <c r="G15" s="254">
        <f t="shared" si="5"/>
        <v>3387596</v>
      </c>
      <c r="H15" s="254">
        <f t="shared" si="6"/>
        <v>3276733</v>
      </c>
      <c r="I15" s="412">
        <f t="shared" si="6"/>
        <v>110863</v>
      </c>
      <c r="J15" s="382">
        <f t="shared" si="7"/>
        <v>5230973</v>
      </c>
      <c r="K15" s="254">
        <f t="shared" si="18"/>
        <v>772001</v>
      </c>
      <c r="L15" s="254">
        <f t="shared" si="18"/>
        <v>4458972</v>
      </c>
      <c r="M15" s="254">
        <f t="shared" si="18"/>
        <v>1230</v>
      </c>
      <c r="N15" s="412">
        <f t="shared" si="9"/>
        <v>5775415</v>
      </c>
      <c r="O15" s="254">
        <f>SUM(P15:Q15)</f>
        <v>5774185</v>
      </c>
      <c r="P15" s="254">
        <f t="shared" si="10"/>
        <v>2325931</v>
      </c>
      <c r="Q15" s="254">
        <f t="shared" si="10"/>
        <v>3448254</v>
      </c>
      <c r="R15" s="254">
        <f t="shared" si="11"/>
        <v>1678029</v>
      </c>
      <c r="S15" s="254">
        <v>1568817</v>
      </c>
      <c r="T15" s="257">
        <v>109212</v>
      </c>
      <c r="U15" s="238">
        <v>5</v>
      </c>
      <c r="V15" s="809">
        <v>5</v>
      </c>
      <c r="W15" s="812" t="s">
        <v>180</v>
      </c>
      <c r="X15" s="412">
        <f>Y15+Z15</f>
        <v>4096156</v>
      </c>
      <c r="Y15" s="254">
        <v>757114</v>
      </c>
      <c r="Z15" s="254">
        <v>3339042</v>
      </c>
      <c r="AA15" s="257">
        <v>1230</v>
      </c>
      <c r="AB15" s="412">
        <f t="shared" si="12"/>
        <v>2844384</v>
      </c>
      <c r="AC15" s="254">
        <f t="shared" si="13"/>
        <v>2844384</v>
      </c>
      <c r="AD15" s="254">
        <f t="shared" si="14"/>
        <v>1722803</v>
      </c>
      <c r="AE15" s="382">
        <f t="shared" si="15"/>
        <v>1121581</v>
      </c>
      <c r="AF15" s="424">
        <f t="shared" si="16"/>
        <v>1709567</v>
      </c>
      <c r="AG15" s="381">
        <v>1707916</v>
      </c>
      <c r="AH15" s="254">
        <v>1651</v>
      </c>
      <c r="AI15" s="254">
        <f t="shared" si="17"/>
        <v>1134817</v>
      </c>
      <c r="AJ15" s="254">
        <v>14887</v>
      </c>
      <c r="AK15" s="254">
        <v>1119930</v>
      </c>
      <c r="AL15" s="254">
        <v>0</v>
      </c>
      <c r="AM15" s="254">
        <v>0</v>
      </c>
      <c r="AN15" s="254">
        <v>0</v>
      </c>
      <c r="AO15" s="254">
        <v>0</v>
      </c>
      <c r="AP15" s="257">
        <v>0</v>
      </c>
      <c r="AQ15" s="233">
        <v>5</v>
      </c>
      <c r="AR15" s="349"/>
    </row>
    <row r="16" spans="1:44" s="368" customFormat="1" ht="24.75" customHeight="1">
      <c r="A16" s="925" t="s">
        <v>85</v>
      </c>
      <c r="B16" s="1051"/>
      <c r="C16" s="414">
        <f aca="true" t="shared" si="19" ref="C16:T16">C17</f>
        <v>17054273</v>
      </c>
      <c r="D16" s="387">
        <f t="shared" si="19"/>
        <v>17038732</v>
      </c>
      <c r="E16" s="387">
        <f t="shared" si="19"/>
        <v>11328290</v>
      </c>
      <c r="F16" s="387">
        <f t="shared" si="19"/>
        <v>5710442</v>
      </c>
      <c r="G16" s="387">
        <f t="shared" si="19"/>
        <v>10667386</v>
      </c>
      <c r="H16" s="389">
        <f t="shared" si="19"/>
        <v>10152784</v>
      </c>
      <c r="I16" s="414">
        <f t="shared" si="19"/>
        <v>514602</v>
      </c>
      <c r="J16" s="388">
        <f t="shared" si="19"/>
        <v>6371346</v>
      </c>
      <c r="K16" s="423">
        <f t="shared" si="19"/>
        <v>1175506</v>
      </c>
      <c r="L16" s="387">
        <f t="shared" si="19"/>
        <v>5195840</v>
      </c>
      <c r="M16" s="389">
        <f t="shared" si="19"/>
        <v>15541</v>
      </c>
      <c r="N16" s="414">
        <f t="shared" si="19"/>
        <v>7639291</v>
      </c>
      <c r="O16" s="387">
        <f t="shared" si="19"/>
        <v>7623750</v>
      </c>
      <c r="P16" s="387">
        <f t="shared" si="19"/>
        <v>4468090</v>
      </c>
      <c r="Q16" s="387">
        <f t="shared" si="19"/>
        <v>3155660</v>
      </c>
      <c r="R16" s="387">
        <f t="shared" si="19"/>
        <v>3831343</v>
      </c>
      <c r="S16" s="387">
        <f t="shared" si="19"/>
        <v>3330487</v>
      </c>
      <c r="T16" s="415">
        <f t="shared" si="19"/>
        <v>500856</v>
      </c>
      <c r="U16" s="390"/>
      <c r="V16" s="925" t="s">
        <v>85</v>
      </c>
      <c r="W16" s="1036"/>
      <c r="X16" s="414">
        <f aca="true" t="shared" si="20" ref="X16:AK16">X17</f>
        <v>3792407</v>
      </c>
      <c r="Y16" s="387">
        <f t="shared" si="20"/>
        <v>1137603</v>
      </c>
      <c r="Z16" s="387">
        <f t="shared" si="20"/>
        <v>2654804</v>
      </c>
      <c r="AA16" s="415">
        <f t="shared" si="20"/>
        <v>15541</v>
      </c>
      <c r="AB16" s="414">
        <f t="shared" si="20"/>
        <v>9414982</v>
      </c>
      <c r="AC16" s="387">
        <f t="shared" si="20"/>
        <v>9414982</v>
      </c>
      <c r="AD16" s="387">
        <f t="shared" si="20"/>
        <v>6860200</v>
      </c>
      <c r="AE16" s="388">
        <f t="shared" si="20"/>
        <v>2554782</v>
      </c>
      <c r="AF16" s="423">
        <f t="shared" si="20"/>
        <v>6836043</v>
      </c>
      <c r="AG16" s="386">
        <f t="shared" si="20"/>
        <v>6822297</v>
      </c>
      <c r="AH16" s="387">
        <f t="shared" si="20"/>
        <v>13746</v>
      </c>
      <c r="AI16" s="387">
        <f t="shared" si="20"/>
        <v>2578939</v>
      </c>
      <c r="AJ16" s="387">
        <f t="shared" si="20"/>
        <v>37903</v>
      </c>
      <c r="AK16" s="387">
        <f t="shared" si="20"/>
        <v>2541036</v>
      </c>
      <c r="AL16" s="391">
        <v>0</v>
      </c>
      <c r="AM16" s="391">
        <v>0</v>
      </c>
      <c r="AN16" s="391">
        <v>0</v>
      </c>
      <c r="AO16" s="391">
        <v>0</v>
      </c>
      <c r="AP16" s="392">
        <v>0</v>
      </c>
      <c r="AQ16" s="488"/>
      <c r="AR16" s="367"/>
    </row>
    <row r="17" spans="1:44" s="380" customFormat="1" ht="22.5" customHeight="1">
      <c r="A17" s="927" t="s">
        <v>184</v>
      </c>
      <c r="B17" s="1030"/>
      <c r="C17" s="411">
        <f aca="true" t="shared" si="21" ref="C17:C22">D17+M17</f>
        <v>17054273</v>
      </c>
      <c r="D17" s="365">
        <f aca="true" t="shared" si="22" ref="D17:D22">E17+F17</f>
        <v>17038732</v>
      </c>
      <c r="E17" s="365">
        <f aca="true" t="shared" si="23" ref="E17:E22">H17+K17</f>
        <v>11328290</v>
      </c>
      <c r="F17" s="365">
        <f aca="true" t="shared" si="24" ref="F17:F22">I17+L17</f>
        <v>5710442</v>
      </c>
      <c r="G17" s="365">
        <f aca="true" t="shared" si="25" ref="G17:G22">H17+I17</f>
        <v>10667386</v>
      </c>
      <c r="H17" s="365">
        <f aca="true" t="shared" si="26" ref="H17:H22">S17+AG17</f>
        <v>10152784</v>
      </c>
      <c r="I17" s="411">
        <f aca="true" t="shared" si="27" ref="I17:I22">T17+AH17</f>
        <v>514602</v>
      </c>
      <c r="J17" s="377">
        <f aca="true" t="shared" si="28" ref="J17:J22">K17+L17</f>
        <v>6371346</v>
      </c>
      <c r="K17" s="365">
        <f aca="true" t="shared" si="29" ref="K17:K22">Y17+AJ17</f>
        <v>1175506</v>
      </c>
      <c r="L17" s="365">
        <f aca="true" t="shared" si="30" ref="L17:M22">Z17+AK17</f>
        <v>5195840</v>
      </c>
      <c r="M17" s="365">
        <f>SUM(M18:M23)</f>
        <v>15541</v>
      </c>
      <c r="N17" s="411">
        <f aca="true" t="shared" si="31" ref="N17:N22">O17+AA17</f>
        <v>7639291</v>
      </c>
      <c r="O17" s="365">
        <f aca="true" t="shared" si="32" ref="O17:O22">P17+Q17</f>
        <v>7623750</v>
      </c>
      <c r="P17" s="365">
        <f aca="true" t="shared" si="33" ref="P17:P22">S17+Y17</f>
        <v>4468090</v>
      </c>
      <c r="Q17" s="365">
        <f aca="true" t="shared" si="34" ref="Q17:Q22">T17+Z17</f>
        <v>3155660</v>
      </c>
      <c r="R17" s="365">
        <f aca="true" t="shared" si="35" ref="R17:R22">S17+T17</f>
        <v>3831343</v>
      </c>
      <c r="S17" s="365">
        <f>SUM(S18:S23)</f>
        <v>3330487</v>
      </c>
      <c r="T17" s="366">
        <f>SUM(T18:T23)</f>
        <v>500856</v>
      </c>
      <c r="U17" s="393"/>
      <c r="V17" s="927" t="s">
        <v>184</v>
      </c>
      <c r="W17" s="1029"/>
      <c r="X17" s="411">
        <f aca="true" t="shared" si="36" ref="X17:X22">Y17+Z17</f>
        <v>3792407</v>
      </c>
      <c r="Y17" s="365">
        <f>SUM(Y18:Y23)</f>
        <v>1137603</v>
      </c>
      <c r="Z17" s="365">
        <f>SUM(Z18:Z23)</f>
        <v>2654804</v>
      </c>
      <c r="AA17" s="366">
        <f>SUM(AA18:AA23)</f>
        <v>15541</v>
      </c>
      <c r="AB17" s="408">
        <f aca="true" t="shared" si="37" ref="AB17:AB23">+AC17+AL17</f>
        <v>9414982</v>
      </c>
      <c r="AC17" s="365">
        <f aca="true" t="shared" si="38" ref="AC17:AC22">AD17+AE17</f>
        <v>9414982</v>
      </c>
      <c r="AD17" s="365">
        <f aca="true" t="shared" si="39" ref="AD17:AD22">AG17+AJ17</f>
        <v>6860200</v>
      </c>
      <c r="AE17" s="377">
        <f aca="true" t="shared" si="40" ref="AE17:AE22">AH17+AK17</f>
        <v>2554782</v>
      </c>
      <c r="AF17" s="422">
        <f aca="true" t="shared" si="41" ref="AF17:AF23">AG17+AH17</f>
        <v>6836043</v>
      </c>
      <c r="AG17" s="376">
        <f>SUM(AG18:AG23)</f>
        <v>6822297</v>
      </c>
      <c r="AH17" s="365">
        <f>SUM(AH18:AH23)</f>
        <v>13746</v>
      </c>
      <c r="AI17" s="365">
        <f>SUM(AI18:AI23)</f>
        <v>2578939</v>
      </c>
      <c r="AJ17" s="365">
        <f>SUM(AJ18:AJ23)</f>
        <v>37903</v>
      </c>
      <c r="AK17" s="365">
        <f>SUM(AK18:AK23)</f>
        <v>2541036</v>
      </c>
      <c r="AL17" s="365">
        <v>0</v>
      </c>
      <c r="AM17" s="365">
        <v>0</v>
      </c>
      <c r="AN17" s="365">
        <v>0</v>
      </c>
      <c r="AO17" s="365">
        <v>0</v>
      </c>
      <c r="AP17" s="366">
        <v>0</v>
      </c>
      <c r="AQ17" s="489"/>
      <c r="AR17" s="379"/>
    </row>
    <row r="18" spans="1:44" ht="20.25" customHeight="1">
      <c r="A18" s="809">
        <v>6</v>
      </c>
      <c r="B18" s="439" t="s">
        <v>106</v>
      </c>
      <c r="C18" s="412">
        <f t="shared" si="21"/>
        <v>6258573</v>
      </c>
      <c r="D18" s="254">
        <f t="shared" si="22"/>
        <v>6248560</v>
      </c>
      <c r="E18" s="254">
        <f>H18+K18</f>
        <v>3834537</v>
      </c>
      <c r="F18" s="254">
        <f t="shared" si="24"/>
        <v>2414023</v>
      </c>
      <c r="G18" s="254">
        <f t="shared" si="25"/>
        <v>3438846</v>
      </c>
      <c r="H18" s="254">
        <f t="shared" si="26"/>
        <v>3169512</v>
      </c>
      <c r="I18" s="412">
        <f t="shared" si="27"/>
        <v>269334</v>
      </c>
      <c r="J18" s="382">
        <f t="shared" si="28"/>
        <v>2809714</v>
      </c>
      <c r="K18" s="254">
        <f>Y18+AJ18</f>
        <v>665025</v>
      </c>
      <c r="L18" s="254">
        <f t="shared" si="30"/>
        <v>2144689</v>
      </c>
      <c r="M18" s="254">
        <f t="shared" si="30"/>
        <v>10013</v>
      </c>
      <c r="N18" s="412">
        <f t="shared" si="31"/>
        <v>4291963</v>
      </c>
      <c r="O18" s="254">
        <f t="shared" si="32"/>
        <v>4281950</v>
      </c>
      <c r="P18" s="254">
        <f t="shared" si="33"/>
        <v>2299605</v>
      </c>
      <c r="Q18" s="254">
        <f t="shared" si="34"/>
        <v>1982345</v>
      </c>
      <c r="R18" s="254">
        <f t="shared" si="35"/>
        <v>1902790</v>
      </c>
      <c r="S18" s="254">
        <f>980619+654543</f>
        <v>1635162</v>
      </c>
      <c r="T18" s="257">
        <f>175404+92224</f>
        <v>267628</v>
      </c>
      <c r="U18" s="351">
        <v>6</v>
      </c>
      <c r="V18" s="809">
        <v>6</v>
      </c>
      <c r="W18" s="812" t="s">
        <v>106</v>
      </c>
      <c r="X18" s="412">
        <f t="shared" si="36"/>
        <v>2379160</v>
      </c>
      <c r="Y18" s="254">
        <f>91027+573416</f>
        <v>664443</v>
      </c>
      <c r="Z18" s="254">
        <f>923545+791172</f>
        <v>1714717</v>
      </c>
      <c r="AA18" s="257">
        <f>9650+363</f>
        <v>10013</v>
      </c>
      <c r="AB18" s="412">
        <f t="shared" si="37"/>
        <v>1966610</v>
      </c>
      <c r="AC18" s="254">
        <f t="shared" si="38"/>
        <v>1966610</v>
      </c>
      <c r="AD18" s="254">
        <f>AG18+AJ18</f>
        <v>1534932</v>
      </c>
      <c r="AE18" s="382">
        <f t="shared" si="40"/>
        <v>431678</v>
      </c>
      <c r="AF18" s="424">
        <f t="shared" si="41"/>
        <v>1536056</v>
      </c>
      <c r="AG18" s="381">
        <f>1310674+223676</f>
        <v>1534350</v>
      </c>
      <c r="AH18" s="254">
        <f>1544+162</f>
        <v>1706</v>
      </c>
      <c r="AI18" s="254">
        <f aca="true" t="shared" si="42" ref="AI18:AI23">AJ18+AK18</f>
        <v>430554</v>
      </c>
      <c r="AJ18" s="254">
        <f>237+345</f>
        <v>582</v>
      </c>
      <c r="AK18" s="254">
        <f>282814+147158</f>
        <v>429972</v>
      </c>
      <c r="AL18" s="254">
        <v>0</v>
      </c>
      <c r="AM18" s="254">
        <v>0</v>
      </c>
      <c r="AN18" s="254">
        <v>0</v>
      </c>
      <c r="AO18" s="254">
        <v>0</v>
      </c>
      <c r="AP18" s="257">
        <v>0</v>
      </c>
      <c r="AQ18" s="253">
        <v>6</v>
      </c>
      <c r="AR18" s="349"/>
    </row>
    <row r="19" spans="1:44" ht="20.25" customHeight="1">
      <c r="A19" s="809">
        <v>7</v>
      </c>
      <c r="B19" s="439" t="s">
        <v>107</v>
      </c>
      <c r="C19" s="412">
        <f t="shared" si="21"/>
        <v>1738597</v>
      </c>
      <c r="D19" s="254">
        <f t="shared" si="22"/>
        <v>1738597</v>
      </c>
      <c r="E19" s="254">
        <f t="shared" si="23"/>
        <v>989679</v>
      </c>
      <c r="F19" s="254">
        <f t="shared" si="24"/>
        <v>748918</v>
      </c>
      <c r="G19" s="254">
        <f t="shared" si="25"/>
        <v>993462</v>
      </c>
      <c r="H19" s="254">
        <f t="shared" si="26"/>
        <v>981354</v>
      </c>
      <c r="I19" s="412">
        <f t="shared" si="27"/>
        <v>12108</v>
      </c>
      <c r="J19" s="382">
        <f t="shared" si="28"/>
        <v>745135</v>
      </c>
      <c r="K19" s="254">
        <f t="shared" si="29"/>
        <v>8325</v>
      </c>
      <c r="L19" s="254">
        <f t="shared" si="30"/>
        <v>736810</v>
      </c>
      <c r="M19" s="254">
        <f t="shared" si="30"/>
        <v>0</v>
      </c>
      <c r="N19" s="412">
        <f t="shared" si="31"/>
        <v>317767</v>
      </c>
      <c r="O19" s="254">
        <f t="shared" si="32"/>
        <v>317767</v>
      </c>
      <c r="P19" s="254">
        <f t="shared" si="33"/>
        <v>119067</v>
      </c>
      <c r="Q19" s="254">
        <f t="shared" si="34"/>
        <v>198700</v>
      </c>
      <c r="R19" s="254">
        <f t="shared" si="35"/>
        <v>119126</v>
      </c>
      <c r="S19" s="254">
        <v>110751</v>
      </c>
      <c r="T19" s="257">
        <v>8375</v>
      </c>
      <c r="U19" s="351">
        <v>7</v>
      </c>
      <c r="V19" s="809">
        <v>7</v>
      </c>
      <c r="W19" s="812" t="s">
        <v>107</v>
      </c>
      <c r="X19" s="412">
        <f t="shared" si="36"/>
        <v>198641</v>
      </c>
      <c r="Y19" s="254">
        <v>8316</v>
      </c>
      <c r="Z19" s="254">
        <v>190325</v>
      </c>
      <c r="AA19" s="257">
        <v>0</v>
      </c>
      <c r="AB19" s="412">
        <f t="shared" si="37"/>
        <v>1420830</v>
      </c>
      <c r="AC19" s="254">
        <f t="shared" si="38"/>
        <v>1420830</v>
      </c>
      <c r="AD19" s="254">
        <f t="shared" si="39"/>
        <v>870612</v>
      </c>
      <c r="AE19" s="382">
        <f t="shared" si="40"/>
        <v>550218</v>
      </c>
      <c r="AF19" s="424">
        <f t="shared" si="41"/>
        <v>874336</v>
      </c>
      <c r="AG19" s="381">
        <v>870603</v>
      </c>
      <c r="AH19" s="254">
        <v>3733</v>
      </c>
      <c r="AI19" s="254">
        <f t="shared" si="42"/>
        <v>546494</v>
      </c>
      <c r="AJ19" s="254">
        <v>9</v>
      </c>
      <c r="AK19" s="254">
        <v>546485</v>
      </c>
      <c r="AL19" s="254">
        <v>0</v>
      </c>
      <c r="AM19" s="254">
        <v>0</v>
      </c>
      <c r="AN19" s="254">
        <v>0</v>
      </c>
      <c r="AO19" s="254">
        <v>0</v>
      </c>
      <c r="AP19" s="257">
        <v>0</v>
      </c>
      <c r="AQ19" s="253">
        <v>7</v>
      </c>
      <c r="AR19" s="349"/>
    </row>
    <row r="20" spans="1:44" ht="20.25" customHeight="1">
      <c r="A20" s="809">
        <v>8</v>
      </c>
      <c r="B20" s="439" t="s">
        <v>108</v>
      </c>
      <c r="C20" s="412">
        <f t="shared" si="21"/>
        <v>3302801</v>
      </c>
      <c r="D20" s="254">
        <f t="shared" si="22"/>
        <v>3300731</v>
      </c>
      <c r="E20" s="254">
        <f t="shared" si="23"/>
        <v>2044077</v>
      </c>
      <c r="F20" s="254">
        <f t="shared" si="24"/>
        <v>1256654</v>
      </c>
      <c r="G20" s="254">
        <f t="shared" si="25"/>
        <v>1681809</v>
      </c>
      <c r="H20" s="254">
        <f t="shared" si="26"/>
        <v>1625364</v>
      </c>
      <c r="I20" s="412">
        <f t="shared" si="27"/>
        <v>56445</v>
      </c>
      <c r="J20" s="382">
        <f t="shared" si="28"/>
        <v>1618922</v>
      </c>
      <c r="K20" s="254">
        <f t="shared" si="29"/>
        <v>418713</v>
      </c>
      <c r="L20" s="254">
        <f t="shared" si="30"/>
        <v>1200209</v>
      </c>
      <c r="M20" s="254">
        <f t="shared" si="30"/>
        <v>2070</v>
      </c>
      <c r="N20" s="412">
        <f t="shared" si="31"/>
        <v>1438832</v>
      </c>
      <c r="O20" s="254">
        <f t="shared" si="32"/>
        <v>1436762</v>
      </c>
      <c r="P20" s="254">
        <f t="shared" si="33"/>
        <v>933832</v>
      </c>
      <c r="Q20" s="254">
        <f t="shared" si="34"/>
        <v>502930</v>
      </c>
      <c r="R20" s="254">
        <f t="shared" si="35"/>
        <v>607916</v>
      </c>
      <c r="S20" s="254">
        <v>552117</v>
      </c>
      <c r="T20" s="257">
        <v>55799</v>
      </c>
      <c r="U20" s="351">
        <v>8</v>
      </c>
      <c r="V20" s="809">
        <v>8</v>
      </c>
      <c r="W20" s="812" t="s">
        <v>108</v>
      </c>
      <c r="X20" s="412">
        <f t="shared" si="36"/>
        <v>828846</v>
      </c>
      <c r="Y20" s="254">
        <v>381715</v>
      </c>
      <c r="Z20" s="254">
        <v>447131</v>
      </c>
      <c r="AA20" s="257">
        <v>2070</v>
      </c>
      <c r="AB20" s="412">
        <f t="shared" si="37"/>
        <v>1863969</v>
      </c>
      <c r="AC20" s="254">
        <f t="shared" si="38"/>
        <v>1863969</v>
      </c>
      <c r="AD20" s="254">
        <f t="shared" si="39"/>
        <v>1110245</v>
      </c>
      <c r="AE20" s="382">
        <f t="shared" si="40"/>
        <v>753724</v>
      </c>
      <c r="AF20" s="424">
        <f t="shared" si="41"/>
        <v>1073893</v>
      </c>
      <c r="AG20" s="381">
        <v>1073247</v>
      </c>
      <c r="AH20" s="254">
        <v>646</v>
      </c>
      <c r="AI20" s="254">
        <f t="shared" si="42"/>
        <v>790076</v>
      </c>
      <c r="AJ20" s="254">
        <v>36998</v>
      </c>
      <c r="AK20" s="254">
        <v>753078</v>
      </c>
      <c r="AL20" s="254">
        <v>0</v>
      </c>
      <c r="AM20" s="254">
        <v>0</v>
      </c>
      <c r="AN20" s="254">
        <v>0</v>
      </c>
      <c r="AO20" s="254">
        <v>0</v>
      </c>
      <c r="AP20" s="257">
        <v>0</v>
      </c>
      <c r="AQ20" s="253">
        <v>8</v>
      </c>
      <c r="AR20" s="349"/>
    </row>
    <row r="21" spans="1:44" ht="20.25" customHeight="1">
      <c r="A21" s="809">
        <v>9</v>
      </c>
      <c r="B21" s="439" t="s">
        <v>109</v>
      </c>
      <c r="C21" s="412">
        <f t="shared" si="21"/>
        <v>329559</v>
      </c>
      <c r="D21" s="254">
        <f t="shared" si="22"/>
        <v>328649</v>
      </c>
      <c r="E21" s="254">
        <f t="shared" si="23"/>
        <v>198942</v>
      </c>
      <c r="F21" s="254">
        <f t="shared" si="24"/>
        <v>129707</v>
      </c>
      <c r="G21" s="254">
        <f t="shared" si="25"/>
        <v>150657</v>
      </c>
      <c r="H21" s="254">
        <f t="shared" si="26"/>
        <v>140720</v>
      </c>
      <c r="I21" s="412">
        <f t="shared" si="27"/>
        <v>9937</v>
      </c>
      <c r="J21" s="382">
        <f t="shared" si="28"/>
        <v>177992</v>
      </c>
      <c r="K21" s="254">
        <f t="shared" si="29"/>
        <v>58222</v>
      </c>
      <c r="L21" s="254">
        <f t="shared" si="30"/>
        <v>119770</v>
      </c>
      <c r="M21" s="254">
        <f t="shared" si="30"/>
        <v>910</v>
      </c>
      <c r="N21" s="412">
        <f t="shared" si="31"/>
        <v>268005</v>
      </c>
      <c r="O21" s="254">
        <f t="shared" si="32"/>
        <v>267095</v>
      </c>
      <c r="P21" s="254">
        <f t="shared" si="33"/>
        <v>178477</v>
      </c>
      <c r="Q21" s="254">
        <f t="shared" si="34"/>
        <v>88618</v>
      </c>
      <c r="R21" s="254">
        <f t="shared" si="35"/>
        <v>130327</v>
      </c>
      <c r="S21" s="254">
        <v>120414</v>
      </c>
      <c r="T21" s="257">
        <v>9913</v>
      </c>
      <c r="U21" s="351">
        <v>9</v>
      </c>
      <c r="V21" s="809">
        <v>9</v>
      </c>
      <c r="W21" s="812" t="s">
        <v>109</v>
      </c>
      <c r="X21" s="412">
        <f t="shared" si="36"/>
        <v>136768</v>
      </c>
      <c r="Y21" s="254">
        <v>58063</v>
      </c>
      <c r="Z21" s="254">
        <v>78705</v>
      </c>
      <c r="AA21" s="257">
        <v>910</v>
      </c>
      <c r="AB21" s="412">
        <f t="shared" si="37"/>
        <v>61554</v>
      </c>
      <c r="AC21" s="254">
        <f t="shared" si="38"/>
        <v>61554</v>
      </c>
      <c r="AD21" s="254">
        <f t="shared" si="39"/>
        <v>20465</v>
      </c>
      <c r="AE21" s="382">
        <f t="shared" si="40"/>
        <v>41089</v>
      </c>
      <c r="AF21" s="424">
        <f t="shared" si="41"/>
        <v>20330</v>
      </c>
      <c r="AG21" s="381">
        <v>20306</v>
      </c>
      <c r="AH21" s="254">
        <v>24</v>
      </c>
      <c r="AI21" s="254">
        <f t="shared" si="42"/>
        <v>41224</v>
      </c>
      <c r="AJ21" s="254">
        <v>159</v>
      </c>
      <c r="AK21" s="254">
        <v>41065</v>
      </c>
      <c r="AL21" s="254">
        <v>0</v>
      </c>
      <c r="AM21" s="254">
        <v>0</v>
      </c>
      <c r="AN21" s="254">
        <v>0</v>
      </c>
      <c r="AO21" s="254">
        <v>0</v>
      </c>
      <c r="AP21" s="257">
        <v>0</v>
      </c>
      <c r="AQ21" s="253">
        <v>9</v>
      </c>
      <c r="AR21" s="349"/>
    </row>
    <row r="22" spans="1:44" ht="20.25" customHeight="1">
      <c r="A22" s="809">
        <v>10</v>
      </c>
      <c r="B22" s="439" t="s">
        <v>110</v>
      </c>
      <c r="C22" s="412">
        <f t="shared" si="21"/>
        <v>982187</v>
      </c>
      <c r="D22" s="254">
        <f t="shared" si="22"/>
        <v>982187</v>
      </c>
      <c r="E22" s="254">
        <f t="shared" si="23"/>
        <v>801831</v>
      </c>
      <c r="F22" s="254">
        <f t="shared" si="24"/>
        <v>180356</v>
      </c>
      <c r="G22" s="254">
        <f t="shared" si="25"/>
        <v>806890</v>
      </c>
      <c r="H22" s="254">
        <f t="shared" si="26"/>
        <v>800463</v>
      </c>
      <c r="I22" s="412">
        <f t="shared" si="27"/>
        <v>6427</v>
      </c>
      <c r="J22" s="382">
        <f t="shared" si="28"/>
        <v>175297</v>
      </c>
      <c r="K22" s="254">
        <f t="shared" si="29"/>
        <v>1368</v>
      </c>
      <c r="L22" s="254">
        <f t="shared" si="30"/>
        <v>173929</v>
      </c>
      <c r="M22" s="254">
        <f t="shared" si="30"/>
        <v>0</v>
      </c>
      <c r="N22" s="412">
        <f t="shared" si="31"/>
        <v>22201</v>
      </c>
      <c r="O22" s="254">
        <f t="shared" si="32"/>
        <v>22201</v>
      </c>
      <c r="P22" s="254">
        <f t="shared" si="33"/>
        <v>17742</v>
      </c>
      <c r="Q22" s="254">
        <f t="shared" si="34"/>
        <v>4459</v>
      </c>
      <c r="R22" s="254">
        <f t="shared" si="35"/>
        <v>18107</v>
      </c>
      <c r="S22" s="254">
        <v>16395</v>
      </c>
      <c r="T22" s="257">
        <v>1712</v>
      </c>
      <c r="U22" s="351">
        <v>10</v>
      </c>
      <c r="V22" s="809">
        <v>10</v>
      </c>
      <c r="W22" s="812" t="s">
        <v>110</v>
      </c>
      <c r="X22" s="412">
        <f t="shared" si="36"/>
        <v>4094</v>
      </c>
      <c r="Y22" s="254">
        <v>1347</v>
      </c>
      <c r="Z22" s="254">
        <v>2747</v>
      </c>
      <c r="AA22" s="257">
        <v>0</v>
      </c>
      <c r="AB22" s="412">
        <f t="shared" si="37"/>
        <v>959986</v>
      </c>
      <c r="AC22" s="254">
        <f t="shared" si="38"/>
        <v>959986</v>
      </c>
      <c r="AD22" s="254">
        <f t="shared" si="39"/>
        <v>784089</v>
      </c>
      <c r="AE22" s="382">
        <f t="shared" si="40"/>
        <v>175897</v>
      </c>
      <c r="AF22" s="424">
        <f t="shared" si="41"/>
        <v>788783</v>
      </c>
      <c r="AG22" s="381">
        <v>784068</v>
      </c>
      <c r="AH22" s="254">
        <v>4715</v>
      </c>
      <c r="AI22" s="254">
        <f t="shared" si="42"/>
        <v>171203</v>
      </c>
      <c r="AJ22" s="254">
        <v>21</v>
      </c>
      <c r="AK22" s="254">
        <v>171182</v>
      </c>
      <c r="AL22" s="254">
        <v>0</v>
      </c>
      <c r="AM22" s="254">
        <v>0</v>
      </c>
      <c r="AN22" s="254">
        <v>0</v>
      </c>
      <c r="AO22" s="254">
        <v>0</v>
      </c>
      <c r="AP22" s="257">
        <v>0</v>
      </c>
      <c r="AQ22" s="253">
        <v>10</v>
      </c>
      <c r="AR22" s="349"/>
    </row>
    <row r="23" spans="1:44" ht="20.25" customHeight="1" thickBot="1">
      <c r="A23" s="810">
        <v>11</v>
      </c>
      <c r="B23" s="483" t="s">
        <v>181</v>
      </c>
      <c r="C23" s="412">
        <f>D23+M23</f>
        <v>4442556</v>
      </c>
      <c r="D23" s="254">
        <f>E23+F23</f>
        <v>4440008</v>
      </c>
      <c r="E23" s="254">
        <f>H23+K23</f>
        <v>3459224</v>
      </c>
      <c r="F23" s="254">
        <f>I23+L23</f>
        <v>980784</v>
      </c>
      <c r="G23" s="254">
        <f>H23+I23</f>
        <v>3595722</v>
      </c>
      <c r="H23" s="254">
        <f>S23+AG23</f>
        <v>3435371</v>
      </c>
      <c r="I23" s="412">
        <f>T23+AH23</f>
        <v>160351</v>
      </c>
      <c r="J23" s="382">
        <f>K23+L23</f>
        <v>844286</v>
      </c>
      <c r="K23" s="254">
        <f>Y23+AJ23</f>
        <v>23853</v>
      </c>
      <c r="L23" s="254">
        <f>Z23+AK23</f>
        <v>820433</v>
      </c>
      <c r="M23" s="257">
        <f>AA23+AL23</f>
        <v>2548</v>
      </c>
      <c r="N23" s="412">
        <f>O23+AA23</f>
        <v>1300523</v>
      </c>
      <c r="O23" s="254">
        <f>P23+Q23</f>
        <v>1297975</v>
      </c>
      <c r="P23" s="254">
        <f>S23+Y23</f>
        <v>919367</v>
      </c>
      <c r="Q23" s="254">
        <f>T23+Z23</f>
        <v>378608</v>
      </c>
      <c r="R23" s="254">
        <f>S23+T23</f>
        <v>1053077</v>
      </c>
      <c r="S23" s="254">
        <v>895648</v>
      </c>
      <c r="T23" s="257">
        <v>157429</v>
      </c>
      <c r="U23" s="237">
        <v>11</v>
      </c>
      <c r="V23" s="811">
        <v>11</v>
      </c>
      <c r="W23" s="482" t="s">
        <v>181</v>
      </c>
      <c r="X23" s="412">
        <f>Y23+Z23</f>
        <v>244898</v>
      </c>
      <c r="Y23" s="254">
        <v>23719</v>
      </c>
      <c r="Z23" s="254">
        <v>221179</v>
      </c>
      <c r="AA23" s="257">
        <v>2548</v>
      </c>
      <c r="AB23" s="412">
        <f t="shared" si="37"/>
        <v>3142033</v>
      </c>
      <c r="AC23" s="254">
        <f>AD23+AE23</f>
        <v>3142033</v>
      </c>
      <c r="AD23" s="254">
        <f>AG23+AJ23</f>
        <v>2539857</v>
      </c>
      <c r="AE23" s="382">
        <f>AH23+AK23</f>
        <v>602176</v>
      </c>
      <c r="AF23" s="424">
        <f t="shared" si="41"/>
        <v>2542645</v>
      </c>
      <c r="AG23" s="381">
        <v>2539723</v>
      </c>
      <c r="AH23" s="254">
        <v>2922</v>
      </c>
      <c r="AI23" s="254">
        <f t="shared" si="42"/>
        <v>599388</v>
      </c>
      <c r="AJ23" s="254">
        <v>134</v>
      </c>
      <c r="AK23" s="254">
        <v>599254</v>
      </c>
      <c r="AL23" s="254">
        <v>0</v>
      </c>
      <c r="AM23" s="254">
        <v>0</v>
      </c>
      <c r="AN23" s="254">
        <v>0</v>
      </c>
      <c r="AO23" s="254">
        <v>0</v>
      </c>
      <c r="AP23" s="257">
        <v>0</v>
      </c>
      <c r="AQ23" s="490">
        <v>11</v>
      </c>
      <c r="AR23" s="349"/>
    </row>
    <row r="24" spans="1:44" s="368" customFormat="1" ht="24.75" customHeight="1">
      <c r="A24" s="949" t="s">
        <v>135</v>
      </c>
      <c r="B24" s="1032"/>
      <c r="C24" s="479">
        <f aca="true" t="shared" si="43" ref="C24:T24">C25+C32</f>
        <v>15493058</v>
      </c>
      <c r="D24" s="395">
        <f t="shared" si="43"/>
        <v>15493048</v>
      </c>
      <c r="E24" s="395">
        <f t="shared" si="43"/>
        <v>12337281</v>
      </c>
      <c r="F24" s="395">
        <f t="shared" si="43"/>
        <v>3155767</v>
      </c>
      <c r="G24" s="395">
        <f t="shared" si="43"/>
        <v>12402018</v>
      </c>
      <c r="H24" s="395">
        <f t="shared" si="43"/>
        <v>12290824</v>
      </c>
      <c r="I24" s="479">
        <f t="shared" si="43"/>
        <v>111194</v>
      </c>
      <c r="J24" s="480">
        <f t="shared" si="43"/>
        <v>3091030</v>
      </c>
      <c r="K24" s="480">
        <f t="shared" si="43"/>
        <v>46457</v>
      </c>
      <c r="L24" s="395">
        <f t="shared" si="43"/>
        <v>3044573</v>
      </c>
      <c r="M24" s="564">
        <f t="shared" si="43"/>
        <v>10</v>
      </c>
      <c r="N24" s="479">
        <f t="shared" si="43"/>
        <v>1440075</v>
      </c>
      <c r="O24" s="395">
        <f t="shared" si="43"/>
        <v>1440065</v>
      </c>
      <c r="P24" s="395">
        <f t="shared" si="43"/>
        <v>964342</v>
      </c>
      <c r="Q24" s="395">
        <f t="shared" si="43"/>
        <v>475723</v>
      </c>
      <c r="R24" s="395">
        <f t="shared" si="43"/>
        <v>1023962</v>
      </c>
      <c r="S24" s="395">
        <f t="shared" si="43"/>
        <v>930654</v>
      </c>
      <c r="T24" s="481">
        <f t="shared" si="43"/>
        <v>93308</v>
      </c>
      <c r="U24" s="378"/>
      <c r="V24" s="949" t="s">
        <v>135</v>
      </c>
      <c r="W24" s="1033"/>
      <c r="X24" s="441">
        <f aca="true" t="shared" si="44" ref="X24:AK24">X25+X32</f>
        <v>416103</v>
      </c>
      <c r="Y24" s="442">
        <f t="shared" si="44"/>
        <v>33688</v>
      </c>
      <c r="Z24" s="442">
        <f t="shared" si="44"/>
        <v>382415</v>
      </c>
      <c r="AA24" s="443">
        <f t="shared" si="44"/>
        <v>10</v>
      </c>
      <c r="AB24" s="479">
        <f t="shared" si="44"/>
        <v>14052983</v>
      </c>
      <c r="AC24" s="395">
        <f t="shared" si="44"/>
        <v>14052983</v>
      </c>
      <c r="AD24" s="395">
        <f t="shared" si="44"/>
        <v>11372939</v>
      </c>
      <c r="AE24" s="480">
        <f t="shared" si="44"/>
        <v>2680044</v>
      </c>
      <c r="AF24" s="480">
        <f t="shared" si="44"/>
        <v>11378056</v>
      </c>
      <c r="AG24" s="394">
        <f t="shared" si="44"/>
        <v>11360170</v>
      </c>
      <c r="AH24" s="395">
        <f t="shared" si="44"/>
        <v>17886</v>
      </c>
      <c r="AI24" s="395">
        <f t="shared" si="44"/>
        <v>2674927</v>
      </c>
      <c r="AJ24" s="395">
        <f t="shared" si="44"/>
        <v>12769</v>
      </c>
      <c r="AK24" s="395">
        <f t="shared" si="44"/>
        <v>2662158</v>
      </c>
      <c r="AL24" s="396">
        <v>0</v>
      </c>
      <c r="AM24" s="396">
        <v>0</v>
      </c>
      <c r="AN24" s="396">
        <v>0</v>
      </c>
      <c r="AO24" s="396">
        <v>0</v>
      </c>
      <c r="AP24" s="397">
        <v>0</v>
      </c>
      <c r="AQ24" s="491"/>
      <c r="AR24" s="367"/>
    </row>
    <row r="25" spans="1:44" s="380" customFormat="1" ht="22.5" customHeight="1">
      <c r="A25" s="927" t="s">
        <v>369</v>
      </c>
      <c r="B25" s="1030"/>
      <c r="C25" s="411">
        <f>D25+M25</f>
        <v>5829117</v>
      </c>
      <c r="D25" s="365">
        <f>E25+F25</f>
        <v>5829117</v>
      </c>
      <c r="E25" s="365">
        <f>H25+K25</f>
        <v>4732431</v>
      </c>
      <c r="F25" s="365">
        <f>I25+L25</f>
        <v>1096686</v>
      </c>
      <c r="G25" s="365">
        <f>H25+I25</f>
        <v>4771825</v>
      </c>
      <c r="H25" s="365">
        <f>S25+AG25</f>
        <v>4710965</v>
      </c>
      <c r="I25" s="411">
        <f>T25+AH25</f>
        <v>60860</v>
      </c>
      <c r="J25" s="377">
        <f>K25+L25</f>
        <v>1057292</v>
      </c>
      <c r="K25" s="365">
        <f>Y25+AJ25</f>
        <v>21466</v>
      </c>
      <c r="L25" s="365">
        <f>Z25+AK25</f>
        <v>1035826</v>
      </c>
      <c r="M25" s="366">
        <f>SUM(M26:M31)</f>
        <v>0</v>
      </c>
      <c r="N25" s="411">
        <f aca="true" t="shared" si="45" ref="N25:N32">O25+AA25</f>
        <v>483410</v>
      </c>
      <c r="O25" s="365">
        <f>P25+Q25</f>
        <v>483410</v>
      </c>
      <c r="P25" s="365">
        <f>S25+Y25</f>
        <v>247133</v>
      </c>
      <c r="Q25" s="365">
        <f>T25+Z25</f>
        <v>236277</v>
      </c>
      <c r="R25" s="365">
        <f>S25+T25</f>
        <v>274824</v>
      </c>
      <c r="S25" s="365">
        <f>SUM(S26:S31)</f>
        <v>226491</v>
      </c>
      <c r="T25" s="366">
        <f>SUM(T26:T31)</f>
        <v>48333</v>
      </c>
      <c r="U25" s="398" t="s">
        <v>91</v>
      </c>
      <c r="V25" s="927" t="s">
        <v>369</v>
      </c>
      <c r="W25" s="1029"/>
      <c r="X25" s="411">
        <f>Y25+Z25</f>
        <v>208586</v>
      </c>
      <c r="Y25" s="365">
        <f>SUM(Y26:Y31)</f>
        <v>20642</v>
      </c>
      <c r="Z25" s="365">
        <f>SUM(Z26:Z31)</f>
        <v>187944</v>
      </c>
      <c r="AA25" s="366">
        <f>SUM(AA26:AA31)</f>
        <v>0</v>
      </c>
      <c r="AB25" s="408">
        <f>+AC25+AL25</f>
        <v>5345707</v>
      </c>
      <c r="AC25" s="365">
        <f>AD25+AE25</f>
        <v>5345707</v>
      </c>
      <c r="AD25" s="365">
        <f>AG25+AJ25</f>
        <v>4485298</v>
      </c>
      <c r="AE25" s="377">
        <f>AH25+AK25</f>
        <v>860409</v>
      </c>
      <c r="AF25" s="422">
        <f>AG25+AH25</f>
        <v>4497001</v>
      </c>
      <c r="AG25" s="376">
        <f>SUM(AG26:AG31)</f>
        <v>4484474</v>
      </c>
      <c r="AH25" s="365">
        <f>SUM(AH26:AH31)</f>
        <v>12527</v>
      </c>
      <c r="AI25" s="365">
        <f>SUM(AI26:AI31)</f>
        <v>848706</v>
      </c>
      <c r="AJ25" s="365">
        <f>SUM(AJ26:AJ31)</f>
        <v>824</v>
      </c>
      <c r="AK25" s="365">
        <f>SUM(AK26:AK31)</f>
        <v>847882</v>
      </c>
      <c r="AL25" s="365">
        <v>0</v>
      </c>
      <c r="AM25" s="365">
        <v>0</v>
      </c>
      <c r="AN25" s="365">
        <v>0</v>
      </c>
      <c r="AO25" s="365">
        <v>0</v>
      </c>
      <c r="AP25" s="366">
        <v>0</v>
      </c>
      <c r="AQ25" s="492" t="s">
        <v>91</v>
      </c>
      <c r="AR25" s="379"/>
    </row>
    <row r="26" spans="1:44" ht="20.25" customHeight="1">
      <c r="A26" s="809">
        <v>12</v>
      </c>
      <c r="B26" s="439" t="s">
        <v>111</v>
      </c>
      <c r="C26" s="412">
        <f aca="true" t="shared" si="46" ref="C26:C31">D26+M26</f>
        <v>1766397</v>
      </c>
      <c r="D26" s="254">
        <f aca="true" t="shared" si="47" ref="D26:D31">E26+F26</f>
        <v>1766397</v>
      </c>
      <c r="E26" s="254">
        <f aca="true" t="shared" si="48" ref="E26:E31">H26+K26</f>
        <v>1324155</v>
      </c>
      <c r="F26" s="254">
        <f aca="true" t="shared" si="49" ref="F26:F31">I26+L26</f>
        <v>442242</v>
      </c>
      <c r="G26" s="254">
        <f aca="true" t="shared" si="50" ref="G26:G31">H26+I26</f>
        <v>1328735</v>
      </c>
      <c r="H26" s="254">
        <f aca="true" t="shared" si="51" ref="H26:H31">S26+AG26</f>
        <v>1321244</v>
      </c>
      <c r="I26" s="412">
        <f aca="true" t="shared" si="52" ref="I26:I31">T26+AH26</f>
        <v>7491</v>
      </c>
      <c r="J26" s="382">
        <f aca="true" t="shared" si="53" ref="J26:J31">K26+L26</f>
        <v>437662</v>
      </c>
      <c r="K26" s="254">
        <f aca="true" t="shared" si="54" ref="K26:L28">Y26+AJ26</f>
        <v>2911</v>
      </c>
      <c r="L26" s="254">
        <f t="shared" si="54"/>
        <v>434751</v>
      </c>
      <c r="M26" s="254">
        <f aca="true" t="shared" si="55" ref="M26:M31">AA26+AL26</f>
        <v>0</v>
      </c>
      <c r="N26" s="412">
        <f t="shared" si="45"/>
        <v>109520</v>
      </c>
      <c r="O26" s="254">
        <f aca="true" t="shared" si="56" ref="O26:O31">P26+Q26</f>
        <v>109520</v>
      </c>
      <c r="P26" s="254">
        <f aca="true" t="shared" si="57" ref="P26:Q28">S26+Y26</f>
        <v>32103</v>
      </c>
      <c r="Q26" s="254">
        <f t="shared" si="57"/>
        <v>77417</v>
      </c>
      <c r="R26" s="254">
        <f aca="true" t="shared" si="58" ref="R26:R31">S26+T26</f>
        <v>34093</v>
      </c>
      <c r="S26" s="254">
        <f>22123+7266</f>
        <v>29389</v>
      </c>
      <c r="T26" s="257">
        <f>2843+1861</f>
        <v>4704</v>
      </c>
      <c r="U26" s="238">
        <v>12</v>
      </c>
      <c r="V26" s="809">
        <v>12</v>
      </c>
      <c r="W26" s="812" t="s">
        <v>111</v>
      </c>
      <c r="X26" s="412">
        <f aca="true" t="shared" si="59" ref="X26:X31">Y26+Z26</f>
        <v>75427</v>
      </c>
      <c r="Y26" s="254">
        <f>1098+1616</f>
        <v>2714</v>
      </c>
      <c r="Z26" s="254">
        <f>30888+41825</f>
        <v>72713</v>
      </c>
      <c r="AA26" s="257">
        <v>0</v>
      </c>
      <c r="AB26" s="412">
        <f aca="true" t="shared" si="60" ref="AB26:AB31">+AC26+AL26</f>
        <v>1656877</v>
      </c>
      <c r="AC26" s="254">
        <f aca="true" t="shared" si="61" ref="AC26:AC31">AD26+AE26</f>
        <v>1656877</v>
      </c>
      <c r="AD26" s="254">
        <f aca="true" t="shared" si="62" ref="AD26:AE28">AG26+AJ26</f>
        <v>1292052</v>
      </c>
      <c r="AE26" s="382">
        <f t="shared" si="62"/>
        <v>364825</v>
      </c>
      <c r="AF26" s="424">
        <f aca="true" t="shared" si="63" ref="AF26:AF31">AG26+AH26</f>
        <v>1294642</v>
      </c>
      <c r="AG26" s="561">
        <f>705858+585997</f>
        <v>1291855</v>
      </c>
      <c r="AH26" s="556">
        <f>762+2025</f>
        <v>2787</v>
      </c>
      <c r="AI26" s="254">
        <f aca="true" t="shared" si="64" ref="AI26:AI31">AJ26+AK26</f>
        <v>362235</v>
      </c>
      <c r="AJ26" s="556">
        <f>66+131</f>
        <v>197</v>
      </c>
      <c r="AK26" s="556">
        <f>137605+224433</f>
        <v>362038</v>
      </c>
      <c r="AL26" s="254">
        <v>0</v>
      </c>
      <c r="AM26" s="254">
        <v>0</v>
      </c>
      <c r="AN26" s="254">
        <v>0</v>
      </c>
      <c r="AO26" s="254">
        <v>0</v>
      </c>
      <c r="AP26" s="257">
        <v>0</v>
      </c>
      <c r="AQ26" s="233">
        <v>12</v>
      </c>
      <c r="AR26" s="349"/>
    </row>
    <row r="27" spans="1:44" ht="20.25" customHeight="1">
      <c r="A27" s="809">
        <v>13</v>
      </c>
      <c r="B27" s="439" t="s">
        <v>116</v>
      </c>
      <c r="C27" s="412">
        <f>D27+M27</f>
        <v>7078</v>
      </c>
      <c r="D27" s="254">
        <f>E27+F27</f>
        <v>7078</v>
      </c>
      <c r="E27" s="254">
        <f>H27+K27</f>
        <v>5966</v>
      </c>
      <c r="F27" s="254">
        <f>I27+L27</f>
        <v>1112</v>
      </c>
      <c r="G27" s="254">
        <f>H27+I27</f>
        <v>5966</v>
      </c>
      <c r="H27" s="254">
        <f>S27+AG27</f>
        <v>5966</v>
      </c>
      <c r="I27" s="412">
        <f>T27+AH27</f>
        <v>0</v>
      </c>
      <c r="J27" s="382">
        <f>K27+L27</f>
        <v>1112</v>
      </c>
      <c r="K27" s="254">
        <f t="shared" si="54"/>
        <v>0</v>
      </c>
      <c r="L27" s="254">
        <f t="shared" si="54"/>
        <v>1112</v>
      </c>
      <c r="M27" s="254">
        <f t="shared" si="55"/>
        <v>0</v>
      </c>
      <c r="N27" s="412">
        <f t="shared" si="45"/>
        <v>0</v>
      </c>
      <c r="O27" s="254">
        <f t="shared" si="56"/>
        <v>0</v>
      </c>
      <c r="P27" s="254">
        <f t="shared" si="57"/>
        <v>0</v>
      </c>
      <c r="Q27" s="254">
        <f t="shared" si="57"/>
        <v>0</v>
      </c>
      <c r="R27" s="254">
        <f t="shared" si="58"/>
        <v>0</v>
      </c>
      <c r="S27" s="254">
        <v>0</v>
      </c>
      <c r="T27" s="257">
        <v>0</v>
      </c>
      <c r="U27" s="238">
        <v>13</v>
      </c>
      <c r="V27" s="809">
        <v>13</v>
      </c>
      <c r="W27" s="812" t="s">
        <v>116</v>
      </c>
      <c r="X27" s="412">
        <f t="shared" si="59"/>
        <v>0</v>
      </c>
      <c r="Y27" s="254">
        <v>0</v>
      </c>
      <c r="Z27" s="254">
        <v>0</v>
      </c>
      <c r="AA27" s="257">
        <v>0</v>
      </c>
      <c r="AB27" s="412">
        <f>+AC27+AL27</f>
        <v>7078</v>
      </c>
      <c r="AC27" s="254">
        <f>AD27+AE27</f>
        <v>7078</v>
      </c>
      <c r="AD27" s="254">
        <f t="shared" si="62"/>
        <v>5966</v>
      </c>
      <c r="AE27" s="382">
        <f t="shared" si="62"/>
        <v>1112</v>
      </c>
      <c r="AF27" s="424">
        <f>AG27+AH27</f>
        <v>5966</v>
      </c>
      <c r="AG27" s="561">
        <v>5966</v>
      </c>
      <c r="AH27" s="556">
        <v>0</v>
      </c>
      <c r="AI27" s="254">
        <f t="shared" si="64"/>
        <v>1112</v>
      </c>
      <c r="AJ27" s="556">
        <v>0</v>
      </c>
      <c r="AK27" s="556">
        <v>1112</v>
      </c>
      <c r="AL27" s="254">
        <v>0</v>
      </c>
      <c r="AM27" s="254">
        <v>0</v>
      </c>
      <c r="AN27" s="254">
        <v>0</v>
      </c>
      <c r="AO27" s="254">
        <v>0</v>
      </c>
      <c r="AP27" s="257">
        <v>0</v>
      </c>
      <c r="AQ27" s="233">
        <v>13</v>
      </c>
      <c r="AR27" s="349"/>
    </row>
    <row r="28" spans="1:44" ht="20.25" customHeight="1">
      <c r="A28" s="809">
        <v>14</v>
      </c>
      <c r="B28" s="439" t="s">
        <v>119</v>
      </c>
      <c r="C28" s="412">
        <f>D28+M28</f>
        <v>3467</v>
      </c>
      <c r="D28" s="254">
        <f>E28+F28</f>
        <v>3467</v>
      </c>
      <c r="E28" s="254">
        <f>H28+K28</f>
        <v>2236</v>
      </c>
      <c r="F28" s="254">
        <f>I28+L28</f>
        <v>1231</v>
      </c>
      <c r="G28" s="254">
        <f>H28+I28</f>
        <v>2236</v>
      </c>
      <c r="H28" s="254">
        <f>S28+AG28</f>
        <v>2236</v>
      </c>
      <c r="I28" s="412">
        <f>T28+AH28</f>
        <v>0</v>
      </c>
      <c r="J28" s="382">
        <f>K28+L28</f>
        <v>1231</v>
      </c>
      <c r="K28" s="254">
        <f t="shared" si="54"/>
        <v>0</v>
      </c>
      <c r="L28" s="254">
        <f t="shared" si="54"/>
        <v>1231</v>
      </c>
      <c r="M28" s="254">
        <f t="shared" si="55"/>
        <v>0</v>
      </c>
      <c r="N28" s="412">
        <f t="shared" si="45"/>
        <v>0</v>
      </c>
      <c r="O28" s="254">
        <f t="shared" si="56"/>
        <v>0</v>
      </c>
      <c r="P28" s="254">
        <f t="shared" si="57"/>
        <v>0</v>
      </c>
      <c r="Q28" s="254">
        <f t="shared" si="57"/>
        <v>0</v>
      </c>
      <c r="R28" s="254">
        <f t="shared" si="58"/>
        <v>0</v>
      </c>
      <c r="S28" s="254">
        <v>0</v>
      </c>
      <c r="T28" s="257">
        <v>0</v>
      </c>
      <c r="U28" s="238">
        <v>14</v>
      </c>
      <c r="V28" s="809">
        <v>14</v>
      </c>
      <c r="W28" s="812" t="s">
        <v>119</v>
      </c>
      <c r="X28" s="412">
        <f t="shared" si="59"/>
        <v>0</v>
      </c>
      <c r="Y28" s="254">
        <v>0</v>
      </c>
      <c r="Z28" s="254">
        <v>0</v>
      </c>
      <c r="AA28" s="257">
        <v>0</v>
      </c>
      <c r="AB28" s="412">
        <f>+AC28+AL28</f>
        <v>3467</v>
      </c>
      <c r="AC28" s="254">
        <f>AD28+AE28</f>
        <v>3467</v>
      </c>
      <c r="AD28" s="254">
        <f t="shared" si="62"/>
        <v>2236</v>
      </c>
      <c r="AE28" s="382">
        <f t="shared" si="62"/>
        <v>1231</v>
      </c>
      <c r="AF28" s="424">
        <f>AG28+AH28</f>
        <v>2236</v>
      </c>
      <c r="AG28" s="561">
        <v>2236</v>
      </c>
      <c r="AH28" s="556">
        <v>0</v>
      </c>
      <c r="AI28" s="254">
        <f t="shared" si="64"/>
        <v>1231</v>
      </c>
      <c r="AJ28" s="556">
        <v>0</v>
      </c>
      <c r="AK28" s="556">
        <v>1231</v>
      </c>
      <c r="AL28" s="254">
        <v>0</v>
      </c>
      <c r="AM28" s="254">
        <v>0</v>
      </c>
      <c r="AN28" s="254">
        <v>0</v>
      </c>
      <c r="AO28" s="254">
        <v>0</v>
      </c>
      <c r="AP28" s="257">
        <v>0</v>
      </c>
      <c r="AQ28" s="233">
        <v>14</v>
      </c>
      <c r="AR28" s="349"/>
    </row>
    <row r="29" spans="1:44" ht="20.25" customHeight="1">
      <c r="A29" s="809">
        <v>15</v>
      </c>
      <c r="B29" s="439" t="s">
        <v>112</v>
      </c>
      <c r="C29" s="412">
        <f t="shared" si="46"/>
        <v>3583621</v>
      </c>
      <c r="D29" s="254">
        <f t="shared" si="47"/>
        <v>3583621</v>
      </c>
      <c r="E29" s="254">
        <f t="shared" si="48"/>
        <v>2971243</v>
      </c>
      <c r="F29" s="254">
        <f t="shared" si="49"/>
        <v>612378</v>
      </c>
      <c r="G29" s="254">
        <f t="shared" si="50"/>
        <v>3005920</v>
      </c>
      <c r="H29" s="254">
        <f t="shared" si="51"/>
        <v>2952698</v>
      </c>
      <c r="I29" s="412">
        <f t="shared" si="52"/>
        <v>53222</v>
      </c>
      <c r="J29" s="382">
        <f t="shared" si="53"/>
        <v>577701</v>
      </c>
      <c r="K29" s="254">
        <f aca="true" t="shared" si="65" ref="K29:L31">Y29+AJ29</f>
        <v>18545</v>
      </c>
      <c r="L29" s="254">
        <f t="shared" si="65"/>
        <v>559156</v>
      </c>
      <c r="M29" s="254">
        <f t="shared" si="55"/>
        <v>0</v>
      </c>
      <c r="N29" s="412">
        <f t="shared" si="45"/>
        <v>373890</v>
      </c>
      <c r="O29" s="254">
        <f t="shared" si="56"/>
        <v>373890</v>
      </c>
      <c r="P29" s="254">
        <f aca="true" t="shared" si="66" ref="P29:Q31">S29+Y29</f>
        <v>215030</v>
      </c>
      <c r="Q29" s="254">
        <f t="shared" si="66"/>
        <v>158860</v>
      </c>
      <c r="R29" s="254">
        <f t="shared" si="58"/>
        <v>240731</v>
      </c>
      <c r="S29" s="254">
        <v>197102</v>
      </c>
      <c r="T29" s="257">
        <v>43629</v>
      </c>
      <c r="U29" s="238">
        <v>15</v>
      </c>
      <c r="V29" s="809">
        <v>15</v>
      </c>
      <c r="W29" s="812" t="s">
        <v>112</v>
      </c>
      <c r="X29" s="412">
        <f t="shared" si="59"/>
        <v>133159</v>
      </c>
      <c r="Y29" s="254">
        <v>17928</v>
      </c>
      <c r="Z29" s="254">
        <v>115231</v>
      </c>
      <c r="AA29" s="257">
        <v>0</v>
      </c>
      <c r="AB29" s="412">
        <f t="shared" si="60"/>
        <v>3209731</v>
      </c>
      <c r="AC29" s="254">
        <f t="shared" si="61"/>
        <v>3209731</v>
      </c>
      <c r="AD29" s="254">
        <f aca="true" t="shared" si="67" ref="AD29:AE31">AG29+AJ29</f>
        <v>2756213</v>
      </c>
      <c r="AE29" s="382">
        <f t="shared" si="67"/>
        <v>453518</v>
      </c>
      <c r="AF29" s="424">
        <f t="shared" si="63"/>
        <v>2765189</v>
      </c>
      <c r="AG29" s="561">
        <v>2755596</v>
      </c>
      <c r="AH29" s="556">
        <v>9593</v>
      </c>
      <c r="AI29" s="254">
        <f t="shared" si="64"/>
        <v>444542</v>
      </c>
      <c r="AJ29" s="556">
        <v>617</v>
      </c>
      <c r="AK29" s="556">
        <v>443925</v>
      </c>
      <c r="AL29" s="254">
        <v>0</v>
      </c>
      <c r="AM29" s="254">
        <v>0</v>
      </c>
      <c r="AN29" s="254">
        <v>0</v>
      </c>
      <c r="AO29" s="254">
        <v>0</v>
      </c>
      <c r="AP29" s="257">
        <v>0</v>
      </c>
      <c r="AQ29" s="233">
        <v>15</v>
      </c>
      <c r="AR29" s="349"/>
    </row>
    <row r="30" spans="1:44" ht="20.25" customHeight="1">
      <c r="A30" s="809">
        <v>16</v>
      </c>
      <c r="B30" s="439" t="s">
        <v>113</v>
      </c>
      <c r="C30" s="412">
        <f t="shared" si="46"/>
        <v>334672</v>
      </c>
      <c r="D30" s="254">
        <f t="shared" si="47"/>
        <v>334672</v>
      </c>
      <c r="E30" s="254">
        <f t="shared" si="48"/>
        <v>313306</v>
      </c>
      <c r="F30" s="254">
        <f t="shared" si="49"/>
        <v>21366</v>
      </c>
      <c r="G30" s="254">
        <f t="shared" si="50"/>
        <v>313443</v>
      </c>
      <c r="H30" s="254">
        <f t="shared" si="51"/>
        <v>313296</v>
      </c>
      <c r="I30" s="412">
        <f t="shared" si="52"/>
        <v>147</v>
      </c>
      <c r="J30" s="382">
        <f t="shared" si="53"/>
        <v>21229</v>
      </c>
      <c r="K30" s="254">
        <f t="shared" si="65"/>
        <v>10</v>
      </c>
      <c r="L30" s="254">
        <f t="shared" si="65"/>
        <v>21219</v>
      </c>
      <c r="M30" s="254">
        <f t="shared" si="55"/>
        <v>0</v>
      </c>
      <c r="N30" s="412">
        <f t="shared" si="45"/>
        <v>0</v>
      </c>
      <c r="O30" s="254">
        <f t="shared" si="56"/>
        <v>0</v>
      </c>
      <c r="P30" s="254">
        <f t="shared" si="66"/>
        <v>0</v>
      </c>
      <c r="Q30" s="254">
        <f t="shared" si="66"/>
        <v>0</v>
      </c>
      <c r="R30" s="254">
        <f t="shared" si="58"/>
        <v>0</v>
      </c>
      <c r="S30" s="254">
        <v>0</v>
      </c>
      <c r="T30" s="257">
        <v>0</v>
      </c>
      <c r="U30" s="238">
        <v>16</v>
      </c>
      <c r="V30" s="809">
        <v>16</v>
      </c>
      <c r="W30" s="812" t="s">
        <v>113</v>
      </c>
      <c r="X30" s="412">
        <f t="shared" si="59"/>
        <v>0</v>
      </c>
      <c r="Y30" s="254">
        <v>0</v>
      </c>
      <c r="Z30" s="254">
        <v>0</v>
      </c>
      <c r="AA30" s="257">
        <v>0</v>
      </c>
      <c r="AB30" s="412">
        <f t="shared" si="60"/>
        <v>334672</v>
      </c>
      <c r="AC30" s="254">
        <f t="shared" si="61"/>
        <v>334672</v>
      </c>
      <c r="AD30" s="254">
        <f t="shared" si="67"/>
        <v>313306</v>
      </c>
      <c r="AE30" s="382">
        <f t="shared" si="67"/>
        <v>21366</v>
      </c>
      <c r="AF30" s="424">
        <f t="shared" si="63"/>
        <v>313443</v>
      </c>
      <c r="AG30" s="561">
        <v>313296</v>
      </c>
      <c r="AH30" s="556">
        <v>147</v>
      </c>
      <c r="AI30" s="254">
        <f t="shared" si="64"/>
        <v>21229</v>
      </c>
      <c r="AJ30" s="556">
        <v>10</v>
      </c>
      <c r="AK30" s="556">
        <v>21219</v>
      </c>
      <c r="AL30" s="254">
        <v>0</v>
      </c>
      <c r="AM30" s="254">
        <v>0</v>
      </c>
      <c r="AN30" s="254">
        <v>0</v>
      </c>
      <c r="AO30" s="254">
        <v>0</v>
      </c>
      <c r="AP30" s="257">
        <v>0</v>
      </c>
      <c r="AQ30" s="233">
        <v>16</v>
      </c>
      <c r="AR30" s="349"/>
    </row>
    <row r="31" spans="1:44" ht="20.25" customHeight="1">
      <c r="A31" s="809">
        <v>17</v>
      </c>
      <c r="B31" s="439" t="s">
        <v>114</v>
      </c>
      <c r="C31" s="412">
        <f t="shared" si="46"/>
        <v>133882</v>
      </c>
      <c r="D31" s="254">
        <f t="shared" si="47"/>
        <v>133882</v>
      </c>
      <c r="E31" s="254">
        <f t="shared" si="48"/>
        <v>115525</v>
      </c>
      <c r="F31" s="254">
        <f t="shared" si="49"/>
        <v>18357</v>
      </c>
      <c r="G31" s="254">
        <f t="shared" si="50"/>
        <v>115525</v>
      </c>
      <c r="H31" s="254">
        <f t="shared" si="51"/>
        <v>115525</v>
      </c>
      <c r="I31" s="412">
        <f t="shared" si="52"/>
        <v>0</v>
      </c>
      <c r="J31" s="382">
        <f t="shared" si="53"/>
        <v>18357</v>
      </c>
      <c r="K31" s="254">
        <f t="shared" si="65"/>
        <v>0</v>
      </c>
      <c r="L31" s="254">
        <f t="shared" si="65"/>
        <v>18357</v>
      </c>
      <c r="M31" s="254">
        <f t="shared" si="55"/>
        <v>0</v>
      </c>
      <c r="N31" s="412">
        <f t="shared" si="45"/>
        <v>0</v>
      </c>
      <c r="O31" s="254">
        <f t="shared" si="56"/>
        <v>0</v>
      </c>
      <c r="P31" s="254">
        <f t="shared" si="66"/>
        <v>0</v>
      </c>
      <c r="Q31" s="254">
        <f t="shared" si="66"/>
        <v>0</v>
      </c>
      <c r="R31" s="254">
        <f t="shared" si="58"/>
        <v>0</v>
      </c>
      <c r="S31" s="254">
        <v>0</v>
      </c>
      <c r="T31" s="257">
        <v>0</v>
      </c>
      <c r="U31" s="238">
        <v>17</v>
      </c>
      <c r="V31" s="809">
        <v>17</v>
      </c>
      <c r="W31" s="812" t="s">
        <v>114</v>
      </c>
      <c r="X31" s="412">
        <f t="shared" si="59"/>
        <v>0</v>
      </c>
      <c r="Y31" s="254">
        <v>0</v>
      </c>
      <c r="Z31" s="254">
        <v>0</v>
      </c>
      <c r="AA31" s="257">
        <v>0</v>
      </c>
      <c r="AB31" s="412">
        <f t="shared" si="60"/>
        <v>133882</v>
      </c>
      <c r="AC31" s="254">
        <f t="shared" si="61"/>
        <v>133882</v>
      </c>
      <c r="AD31" s="254">
        <f t="shared" si="67"/>
        <v>115525</v>
      </c>
      <c r="AE31" s="382">
        <f t="shared" si="67"/>
        <v>18357</v>
      </c>
      <c r="AF31" s="424">
        <f t="shared" si="63"/>
        <v>115525</v>
      </c>
      <c r="AG31" s="561">
        <v>115525</v>
      </c>
      <c r="AH31" s="556">
        <v>0</v>
      </c>
      <c r="AI31" s="254">
        <f t="shared" si="64"/>
        <v>18357</v>
      </c>
      <c r="AJ31" s="556">
        <v>0</v>
      </c>
      <c r="AK31" s="556">
        <v>18357</v>
      </c>
      <c r="AL31" s="254">
        <v>0</v>
      </c>
      <c r="AM31" s="254">
        <v>0</v>
      </c>
      <c r="AN31" s="254">
        <v>0</v>
      </c>
      <c r="AO31" s="254">
        <v>0</v>
      </c>
      <c r="AP31" s="257">
        <v>0</v>
      </c>
      <c r="AQ31" s="233">
        <v>17</v>
      </c>
      <c r="AR31" s="349"/>
    </row>
    <row r="32" spans="1:44" s="380" customFormat="1" ht="22.5" customHeight="1">
      <c r="A32" s="927" t="s">
        <v>371</v>
      </c>
      <c r="B32" s="1031"/>
      <c r="C32" s="411">
        <f>D32+M32</f>
        <v>9663941</v>
      </c>
      <c r="D32" s="365">
        <f>E32+F32</f>
        <v>9663931</v>
      </c>
      <c r="E32" s="365">
        <f>H32+K32</f>
        <v>7604850</v>
      </c>
      <c r="F32" s="365">
        <f>I32+L32</f>
        <v>2059081</v>
      </c>
      <c r="G32" s="365">
        <f>H32+I32</f>
        <v>7630193</v>
      </c>
      <c r="H32" s="365">
        <f>S32+AG32</f>
        <v>7579859</v>
      </c>
      <c r="I32" s="411">
        <f>T32+AH32</f>
        <v>50334</v>
      </c>
      <c r="J32" s="377">
        <f>K32+L32</f>
        <v>2033738</v>
      </c>
      <c r="K32" s="365">
        <f>Y32+AJ32</f>
        <v>24991</v>
      </c>
      <c r="L32" s="365">
        <f>Z32+AK32</f>
        <v>2008747</v>
      </c>
      <c r="M32" s="365">
        <f>SUM(M33:M41)</f>
        <v>10</v>
      </c>
      <c r="N32" s="411">
        <f t="shared" si="45"/>
        <v>956665</v>
      </c>
      <c r="O32" s="365">
        <f>P32+Q32</f>
        <v>956655</v>
      </c>
      <c r="P32" s="365">
        <f>S32+Y32</f>
        <v>717209</v>
      </c>
      <c r="Q32" s="365">
        <f>T32+Z32</f>
        <v>239446</v>
      </c>
      <c r="R32" s="365">
        <f>S32+T32</f>
        <v>749138</v>
      </c>
      <c r="S32" s="365">
        <f>SUM(S33:S41)</f>
        <v>704163</v>
      </c>
      <c r="T32" s="366">
        <f>SUM(T33:T41)</f>
        <v>44975</v>
      </c>
      <c r="U32" s="398"/>
      <c r="V32" s="927" t="s">
        <v>370</v>
      </c>
      <c r="W32" s="1029"/>
      <c r="X32" s="411">
        <f>Y32+Z32</f>
        <v>207517</v>
      </c>
      <c r="Y32" s="365">
        <f>SUM(Y33:Y41)</f>
        <v>13046</v>
      </c>
      <c r="Z32" s="365">
        <f>SUM(Z33:Z41)</f>
        <v>194471</v>
      </c>
      <c r="AA32" s="366">
        <f>SUM(AA33:AA41)</f>
        <v>10</v>
      </c>
      <c r="AB32" s="408">
        <f>+AC32+AL32</f>
        <v>8707276</v>
      </c>
      <c r="AC32" s="365">
        <f>AD32+AE32</f>
        <v>8707276</v>
      </c>
      <c r="AD32" s="365">
        <f>AG32+AJ32</f>
        <v>6887641</v>
      </c>
      <c r="AE32" s="377">
        <f>AH32+AK32</f>
        <v>1819635</v>
      </c>
      <c r="AF32" s="422">
        <f>AG32+AH32</f>
        <v>6881055</v>
      </c>
      <c r="AG32" s="376">
        <f>SUM(AG33:AG41)</f>
        <v>6875696</v>
      </c>
      <c r="AH32" s="365">
        <f>SUM(AH33:AH41)</f>
        <v>5359</v>
      </c>
      <c r="AI32" s="365">
        <f>SUM(AI33:AI41)</f>
        <v>1826221</v>
      </c>
      <c r="AJ32" s="365">
        <f>SUM(AJ33:AJ41)</f>
        <v>11945</v>
      </c>
      <c r="AK32" s="365">
        <f>SUM(AK33:AK41)</f>
        <v>1814276</v>
      </c>
      <c r="AL32" s="365">
        <v>0</v>
      </c>
      <c r="AM32" s="365">
        <v>0</v>
      </c>
      <c r="AN32" s="365">
        <v>0</v>
      </c>
      <c r="AO32" s="365">
        <v>0</v>
      </c>
      <c r="AP32" s="366">
        <v>0</v>
      </c>
      <c r="AQ32" s="492"/>
      <c r="AR32" s="379"/>
    </row>
    <row r="33" spans="1:44" ht="20.25" customHeight="1">
      <c r="A33" s="809">
        <v>18</v>
      </c>
      <c r="B33" s="439" t="s">
        <v>117</v>
      </c>
      <c r="C33" s="412">
        <f aca="true" t="shared" si="68" ref="C33:C39">D33+M33</f>
        <v>217025</v>
      </c>
      <c r="D33" s="254">
        <f aca="true" t="shared" si="69" ref="D33:D39">E33+F33</f>
        <v>217025</v>
      </c>
      <c r="E33" s="254">
        <f aca="true" t="shared" si="70" ref="E33:F39">H33+K33</f>
        <v>156456</v>
      </c>
      <c r="F33" s="254">
        <f t="shared" si="70"/>
        <v>60569</v>
      </c>
      <c r="G33" s="254">
        <f aca="true" t="shared" si="71" ref="G33:G39">H33+I33</f>
        <v>156493</v>
      </c>
      <c r="H33" s="254">
        <f aca="true" t="shared" si="72" ref="H33:H39">S33+AG33</f>
        <v>156456</v>
      </c>
      <c r="I33" s="412">
        <f aca="true" t="shared" si="73" ref="I33:I39">T33+AH33</f>
        <v>37</v>
      </c>
      <c r="J33" s="382">
        <f aca="true" t="shared" si="74" ref="J33:J39">K33+L33</f>
        <v>60532</v>
      </c>
      <c r="K33" s="254">
        <f aca="true" t="shared" si="75" ref="K33:L39">Y33+AJ33</f>
        <v>0</v>
      </c>
      <c r="L33" s="254">
        <f t="shared" si="75"/>
        <v>60532</v>
      </c>
      <c r="M33" s="254">
        <f aca="true" t="shared" si="76" ref="M33:M39">AA33+AL33</f>
        <v>0</v>
      </c>
      <c r="N33" s="412">
        <f aca="true" t="shared" si="77" ref="N33:N39">O33+AA33</f>
        <v>0</v>
      </c>
      <c r="O33" s="254">
        <f aca="true" t="shared" si="78" ref="O33:O39">P33+Q33</f>
        <v>0</v>
      </c>
      <c r="P33" s="254">
        <f aca="true" t="shared" si="79" ref="P33:P39">S33+Y33</f>
        <v>0</v>
      </c>
      <c r="Q33" s="254">
        <f aca="true" t="shared" si="80" ref="Q33:Q39">T33+Z33</f>
        <v>0</v>
      </c>
      <c r="R33" s="254">
        <f aca="true" t="shared" si="81" ref="R33:R39">S33+T33</f>
        <v>0</v>
      </c>
      <c r="S33" s="254">
        <v>0</v>
      </c>
      <c r="T33" s="257">
        <v>0</v>
      </c>
      <c r="U33" s="447">
        <v>18</v>
      </c>
      <c r="V33" s="809">
        <v>18</v>
      </c>
      <c r="W33" s="812" t="s">
        <v>117</v>
      </c>
      <c r="X33" s="412">
        <f aca="true" t="shared" si="82" ref="X33:X39">Y33+Z33</f>
        <v>0</v>
      </c>
      <c r="Y33" s="254">
        <v>0</v>
      </c>
      <c r="Z33" s="254">
        <v>0</v>
      </c>
      <c r="AA33" s="257">
        <v>0</v>
      </c>
      <c r="AB33" s="412">
        <f aca="true" t="shared" si="83" ref="AB33:AB39">+AC33+AL33</f>
        <v>217025</v>
      </c>
      <c r="AC33" s="254">
        <f aca="true" t="shared" si="84" ref="AC33:AC39">AD33+AE33</f>
        <v>217025</v>
      </c>
      <c r="AD33" s="254">
        <f aca="true" t="shared" si="85" ref="AD33:AE39">AG33+AJ33</f>
        <v>156456</v>
      </c>
      <c r="AE33" s="382">
        <f t="shared" si="85"/>
        <v>60569</v>
      </c>
      <c r="AF33" s="424">
        <f aca="true" t="shared" si="86" ref="AF33:AF39">AG33+AH33</f>
        <v>156493</v>
      </c>
      <c r="AG33" s="561">
        <v>156456</v>
      </c>
      <c r="AH33" s="556">
        <v>37</v>
      </c>
      <c r="AI33" s="254">
        <f aca="true" t="shared" si="87" ref="AI33:AI39">AJ33+AK33</f>
        <v>60532</v>
      </c>
      <c r="AJ33" s="556">
        <v>0</v>
      </c>
      <c r="AK33" s="556">
        <v>60532</v>
      </c>
      <c r="AL33" s="254">
        <v>0</v>
      </c>
      <c r="AM33" s="254">
        <v>0</v>
      </c>
      <c r="AN33" s="254">
        <v>0</v>
      </c>
      <c r="AO33" s="254">
        <v>0</v>
      </c>
      <c r="AP33" s="257">
        <v>0</v>
      </c>
      <c r="AQ33" s="448">
        <v>18</v>
      </c>
      <c r="AR33" s="349"/>
    </row>
    <row r="34" spans="1:44" ht="20.25" customHeight="1">
      <c r="A34" s="809">
        <v>19</v>
      </c>
      <c r="B34" s="439" t="s">
        <v>118</v>
      </c>
      <c r="C34" s="412">
        <f t="shared" si="68"/>
        <v>15236</v>
      </c>
      <c r="D34" s="254">
        <f t="shared" si="69"/>
        <v>15236</v>
      </c>
      <c r="E34" s="254">
        <f t="shared" si="70"/>
        <v>13371</v>
      </c>
      <c r="F34" s="254">
        <f t="shared" si="70"/>
        <v>1865</v>
      </c>
      <c r="G34" s="254">
        <f t="shared" si="71"/>
        <v>13371</v>
      </c>
      <c r="H34" s="254">
        <f t="shared" si="72"/>
        <v>13371</v>
      </c>
      <c r="I34" s="412">
        <f t="shared" si="73"/>
        <v>0</v>
      </c>
      <c r="J34" s="382">
        <f t="shared" si="74"/>
        <v>1865</v>
      </c>
      <c r="K34" s="254">
        <f t="shared" si="75"/>
        <v>0</v>
      </c>
      <c r="L34" s="254">
        <f t="shared" si="75"/>
        <v>1865</v>
      </c>
      <c r="M34" s="254">
        <f t="shared" si="76"/>
        <v>0</v>
      </c>
      <c r="N34" s="412">
        <f t="shared" si="77"/>
        <v>0</v>
      </c>
      <c r="O34" s="254">
        <f t="shared" si="78"/>
        <v>0</v>
      </c>
      <c r="P34" s="254">
        <f t="shared" si="79"/>
        <v>0</v>
      </c>
      <c r="Q34" s="254">
        <f t="shared" si="80"/>
        <v>0</v>
      </c>
      <c r="R34" s="254">
        <f t="shared" si="81"/>
        <v>0</v>
      </c>
      <c r="S34" s="254">
        <v>0</v>
      </c>
      <c r="T34" s="257">
        <v>0</v>
      </c>
      <c r="U34" s="447">
        <v>19</v>
      </c>
      <c r="V34" s="809">
        <v>19</v>
      </c>
      <c r="W34" s="812" t="s">
        <v>118</v>
      </c>
      <c r="X34" s="412">
        <f t="shared" si="82"/>
        <v>0</v>
      </c>
      <c r="Y34" s="254">
        <v>0</v>
      </c>
      <c r="Z34" s="254">
        <v>0</v>
      </c>
      <c r="AA34" s="257">
        <v>0</v>
      </c>
      <c r="AB34" s="412">
        <f t="shared" si="83"/>
        <v>15236</v>
      </c>
      <c r="AC34" s="254">
        <f t="shared" si="84"/>
        <v>15236</v>
      </c>
      <c r="AD34" s="254">
        <f t="shared" si="85"/>
        <v>13371</v>
      </c>
      <c r="AE34" s="382">
        <f t="shared" si="85"/>
        <v>1865</v>
      </c>
      <c r="AF34" s="424">
        <f t="shared" si="86"/>
        <v>13371</v>
      </c>
      <c r="AG34" s="561">
        <v>13371</v>
      </c>
      <c r="AH34" s="556">
        <v>0</v>
      </c>
      <c r="AI34" s="254">
        <f t="shared" si="87"/>
        <v>1865</v>
      </c>
      <c r="AJ34" s="556">
        <v>0</v>
      </c>
      <c r="AK34" s="556">
        <v>1865</v>
      </c>
      <c r="AL34" s="254">
        <v>0</v>
      </c>
      <c r="AM34" s="254">
        <v>0</v>
      </c>
      <c r="AN34" s="254">
        <v>0</v>
      </c>
      <c r="AO34" s="254">
        <v>0</v>
      </c>
      <c r="AP34" s="257">
        <v>0</v>
      </c>
      <c r="AQ34" s="448">
        <v>19</v>
      </c>
      <c r="AR34" s="349"/>
    </row>
    <row r="35" spans="1:44" ht="20.25" customHeight="1">
      <c r="A35" s="809">
        <v>20</v>
      </c>
      <c r="B35" s="439" t="s">
        <v>120</v>
      </c>
      <c r="C35" s="412">
        <f t="shared" si="68"/>
        <v>508</v>
      </c>
      <c r="D35" s="254">
        <f t="shared" si="69"/>
        <v>508</v>
      </c>
      <c r="E35" s="254">
        <f t="shared" si="70"/>
        <v>98</v>
      </c>
      <c r="F35" s="254">
        <f t="shared" si="70"/>
        <v>410</v>
      </c>
      <c r="G35" s="254">
        <f t="shared" si="71"/>
        <v>98</v>
      </c>
      <c r="H35" s="254">
        <f t="shared" si="72"/>
        <v>98</v>
      </c>
      <c r="I35" s="412">
        <f t="shared" si="73"/>
        <v>0</v>
      </c>
      <c r="J35" s="382">
        <f t="shared" si="74"/>
        <v>410</v>
      </c>
      <c r="K35" s="254">
        <f t="shared" si="75"/>
        <v>0</v>
      </c>
      <c r="L35" s="254">
        <f t="shared" si="75"/>
        <v>410</v>
      </c>
      <c r="M35" s="254">
        <f t="shared" si="76"/>
        <v>0</v>
      </c>
      <c r="N35" s="412">
        <f t="shared" si="77"/>
        <v>0</v>
      </c>
      <c r="O35" s="254">
        <f t="shared" si="78"/>
        <v>0</v>
      </c>
      <c r="P35" s="254">
        <f t="shared" si="79"/>
        <v>0</v>
      </c>
      <c r="Q35" s="254">
        <f t="shared" si="80"/>
        <v>0</v>
      </c>
      <c r="R35" s="254">
        <f t="shared" si="81"/>
        <v>0</v>
      </c>
      <c r="S35" s="254">
        <v>0</v>
      </c>
      <c r="T35" s="257">
        <v>0</v>
      </c>
      <c r="U35" s="447">
        <v>20</v>
      </c>
      <c r="V35" s="809">
        <v>20</v>
      </c>
      <c r="W35" s="812" t="s">
        <v>120</v>
      </c>
      <c r="X35" s="412">
        <f t="shared" si="82"/>
        <v>0</v>
      </c>
      <c r="Y35" s="254">
        <v>0</v>
      </c>
      <c r="Z35" s="254">
        <v>0</v>
      </c>
      <c r="AA35" s="257">
        <v>0</v>
      </c>
      <c r="AB35" s="412">
        <f t="shared" si="83"/>
        <v>508</v>
      </c>
      <c r="AC35" s="254">
        <f t="shared" si="84"/>
        <v>508</v>
      </c>
      <c r="AD35" s="254">
        <f t="shared" si="85"/>
        <v>98</v>
      </c>
      <c r="AE35" s="382">
        <f t="shared" si="85"/>
        <v>410</v>
      </c>
      <c r="AF35" s="424">
        <f t="shared" si="86"/>
        <v>98</v>
      </c>
      <c r="AG35" s="561">
        <v>98</v>
      </c>
      <c r="AH35" s="556">
        <v>0</v>
      </c>
      <c r="AI35" s="254">
        <f t="shared" si="87"/>
        <v>410</v>
      </c>
      <c r="AJ35" s="556">
        <v>0</v>
      </c>
      <c r="AK35" s="556">
        <v>410</v>
      </c>
      <c r="AL35" s="254">
        <v>0</v>
      </c>
      <c r="AM35" s="254">
        <v>0</v>
      </c>
      <c r="AN35" s="254">
        <v>0</v>
      </c>
      <c r="AO35" s="254">
        <v>0</v>
      </c>
      <c r="AP35" s="257">
        <v>0</v>
      </c>
      <c r="AQ35" s="448">
        <v>20</v>
      </c>
      <c r="AR35" s="349"/>
    </row>
    <row r="36" spans="1:44" ht="20.25" customHeight="1">
      <c r="A36" s="809">
        <v>21</v>
      </c>
      <c r="B36" s="439" t="s">
        <v>136</v>
      </c>
      <c r="C36" s="412">
        <f t="shared" si="68"/>
        <v>362</v>
      </c>
      <c r="D36" s="254">
        <f t="shared" si="69"/>
        <v>362</v>
      </c>
      <c r="E36" s="254">
        <f t="shared" si="70"/>
        <v>265</v>
      </c>
      <c r="F36" s="254">
        <f t="shared" si="70"/>
        <v>97</v>
      </c>
      <c r="G36" s="254">
        <f t="shared" si="71"/>
        <v>265</v>
      </c>
      <c r="H36" s="254">
        <f t="shared" si="72"/>
        <v>265</v>
      </c>
      <c r="I36" s="412">
        <f t="shared" si="73"/>
        <v>0</v>
      </c>
      <c r="J36" s="382">
        <f t="shared" si="74"/>
        <v>97</v>
      </c>
      <c r="K36" s="254">
        <f t="shared" si="75"/>
        <v>0</v>
      </c>
      <c r="L36" s="254">
        <f t="shared" si="75"/>
        <v>97</v>
      </c>
      <c r="M36" s="254">
        <f t="shared" si="76"/>
        <v>0</v>
      </c>
      <c r="N36" s="412">
        <f t="shared" si="77"/>
        <v>0</v>
      </c>
      <c r="O36" s="254">
        <f t="shared" si="78"/>
        <v>0</v>
      </c>
      <c r="P36" s="254">
        <f t="shared" si="79"/>
        <v>0</v>
      </c>
      <c r="Q36" s="254">
        <f t="shared" si="80"/>
        <v>0</v>
      </c>
      <c r="R36" s="254">
        <f t="shared" si="81"/>
        <v>0</v>
      </c>
      <c r="S36" s="254">
        <v>0</v>
      </c>
      <c r="T36" s="257">
        <v>0</v>
      </c>
      <c r="U36" s="447">
        <v>21</v>
      </c>
      <c r="V36" s="809">
        <v>21</v>
      </c>
      <c r="W36" s="812" t="s">
        <v>136</v>
      </c>
      <c r="X36" s="412">
        <f t="shared" si="82"/>
        <v>0</v>
      </c>
      <c r="Y36" s="254">
        <v>0</v>
      </c>
      <c r="Z36" s="254">
        <v>0</v>
      </c>
      <c r="AA36" s="257">
        <v>0</v>
      </c>
      <c r="AB36" s="412">
        <f t="shared" si="83"/>
        <v>362</v>
      </c>
      <c r="AC36" s="254">
        <f t="shared" si="84"/>
        <v>362</v>
      </c>
      <c r="AD36" s="254">
        <f t="shared" si="85"/>
        <v>265</v>
      </c>
      <c r="AE36" s="382">
        <f t="shared" si="85"/>
        <v>97</v>
      </c>
      <c r="AF36" s="424">
        <f t="shared" si="86"/>
        <v>265</v>
      </c>
      <c r="AG36" s="561">
        <v>265</v>
      </c>
      <c r="AH36" s="556">
        <v>0</v>
      </c>
      <c r="AI36" s="254">
        <f t="shared" si="87"/>
        <v>97</v>
      </c>
      <c r="AJ36" s="556">
        <v>0</v>
      </c>
      <c r="AK36" s="556">
        <v>97</v>
      </c>
      <c r="AL36" s="254">
        <v>0</v>
      </c>
      <c r="AM36" s="254">
        <v>0</v>
      </c>
      <c r="AN36" s="254">
        <v>0</v>
      </c>
      <c r="AO36" s="254">
        <v>0</v>
      </c>
      <c r="AP36" s="257">
        <v>0</v>
      </c>
      <c r="AQ36" s="448">
        <v>21</v>
      </c>
      <c r="AR36" s="349"/>
    </row>
    <row r="37" spans="1:44" ht="20.25" customHeight="1">
      <c r="A37" s="809">
        <v>22</v>
      </c>
      <c r="B37" s="439" t="s">
        <v>121</v>
      </c>
      <c r="C37" s="412">
        <f t="shared" si="68"/>
        <v>10264</v>
      </c>
      <c r="D37" s="254">
        <f t="shared" si="69"/>
        <v>10264</v>
      </c>
      <c r="E37" s="254">
        <f t="shared" si="70"/>
        <v>9130</v>
      </c>
      <c r="F37" s="254">
        <f t="shared" si="70"/>
        <v>1134</v>
      </c>
      <c r="G37" s="254">
        <f t="shared" si="71"/>
        <v>9130</v>
      </c>
      <c r="H37" s="254">
        <f t="shared" si="72"/>
        <v>9130</v>
      </c>
      <c r="I37" s="412">
        <f t="shared" si="73"/>
        <v>0</v>
      </c>
      <c r="J37" s="382">
        <f t="shared" si="74"/>
        <v>1134</v>
      </c>
      <c r="K37" s="254">
        <f t="shared" si="75"/>
        <v>0</v>
      </c>
      <c r="L37" s="254">
        <f t="shared" si="75"/>
        <v>1134</v>
      </c>
      <c r="M37" s="254">
        <f t="shared" si="76"/>
        <v>0</v>
      </c>
      <c r="N37" s="412">
        <f t="shared" si="77"/>
        <v>0</v>
      </c>
      <c r="O37" s="254">
        <f t="shared" si="78"/>
        <v>0</v>
      </c>
      <c r="P37" s="254">
        <f t="shared" si="79"/>
        <v>0</v>
      </c>
      <c r="Q37" s="254">
        <f t="shared" si="80"/>
        <v>0</v>
      </c>
      <c r="R37" s="254">
        <f t="shared" si="81"/>
        <v>0</v>
      </c>
      <c r="S37" s="254">
        <v>0</v>
      </c>
      <c r="T37" s="257">
        <v>0</v>
      </c>
      <c r="U37" s="447">
        <v>22</v>
      </c>
      <c r="V37" s="809">
        <v>22</v>
      </c>
      <c r="W37" s="812" t="s">
        <v>121</v>
      </c>
      <c r="X37" s="412">
        <f t="shared" si="82"/>
        <v>0</v>
      </c>
      <c r="Y37" s="254">
        <v>0</v>
      </c>
      <c r="Z37" s="254">
        <v>0</v>
      </c>
      <c r="AA37" s="257">
        <v>0</v>
      </c>
      <c r="AB37" s="412">
        <f t="shared" si="83"/>
        <v>10264</v>
      </c>
      <c r="AC37" s="254">
        <f t="shared" si="84"/>
        <v>10264</v>
      </c>
      <c r="AD37" s="254">
        <f t="shared" si="85"/>
        <v>9130</v>
      </c>
      <c r="AE37" s="382">
        <f t="shared" si="85"/>
        <v>1134</v>
      </c>
      <c r="AF37" s="424">
        <f t="shared" si="86"/>
        <v>9130</v>
      </c>
      <c r="AG37" s="561">
        <v>9130</v>
      </c>
      <c r="AH37" s="556">
        <v>0</v>
      </c>
      <c r="AI37" s="254">
        <f t="shared" si="87"/>
        <v>1134</v>
      </c>
      <c r="AJ37" s="556">
        <v>0</v>
      </c>
      <c r="AK37" s="556">
        <v>1134</v>
      </c>
      <c r="AL37" s="254">
        <v>0</v>
      </c>
      <c r="AM37" s="254">
        <v>0</v>
      </c>
      <c r="AN37" s="254">
        <v>0</v>
      </c>
      <c r="AO37" s="254">
        <v>0</v>
      </c>
      <c r="AP37" s="257">
        <v>0</v>
      </c>
      <c r="AQ37" s="448">
        <v>22</v>
      </c>
      <c r="AR37" s="349"/>
    </row>
    <row r="38" spans="1:44" ht="20.25" customHeight="1">
      <c r="A38" s="809">
        <v>23</v>
      </c>
      <c r="B38" s="439" t="s">
        <v>122</v>
      </c>
      <c r="C38" s="412">
        <f t="shared" si="68"/>
        <v>428</v>
      </c>
      <c r="D38" s="254">
        <f t="shared" si="69"/>
        <v>428</v>
      </c>
      <c r="E38" s="254">
        <f t="shared" si="70"/>
        <v>163</v>
      </c>
      <c r="F38" s="254">
        <f t="shared" si="70"/>
        <v>265</v>
      </c>
      <c r="G38" s="254">
        <f t="shared" si="71"/>
        <v>163</v>
      </c>
      <c r="H38" s="254">
        <f t="shared" si="72"/>
        <v>163</v>
      </c>
      <c r="I38" s="412">
        <f t="shared" si="73"/>
        <v>0</v>
      </c>
      <c r="J38" s="382">
        <f t="shared" si="74"/>
        <v>265</v>
      </c>
      <c r="K38" s="254">
        <f t="shared" si="75"/>
        <v>0</v>
      </c>
      <c r="L38" s="254">
        <f t="shared" si="75"/>
        <v>265</v>
      </c>
      <c r="M38" s="254">
        <f t="shared" si="76"/>
        <v>0</v>
      </c>
      <c r="N38" s="412">
        <f t="shared" si="77"/>
        <v>0</v>
      </c>
      <c r="O38" s="254">
        <f t="shared" si="78"/>
        <v>0</v>
      </c>
      <c r="P38" s="254">
        <f t="shared" si="79"/>
        <v>0</v>
      </c>
      <c r="Q38" s="254">
        <f t="shared" si="80"/>
        <v>0</v>
      </c>
      <c r="R38" s="254">
        <f t="shared" si="81"/>
        <v>0</v>
      </c>
      <c r="S38" s="254">
        <v>0</v>
      </c>
      <c r="T38" s="257">
        <v>0</v>
      </c>
      <c r="U38" s="447">
        <v>23</v>
      </c>
      <c r="V38" s="809">
        <v>23</v>
      </c>
      <c r="W38" s="812" t="s">
        <v>122</v>
      </c>
      <c r="X38" s="412">
        <f t="shared" si="82"/>
        <v>0</v>
      </c>
      <c r="Y38" s="254">
        <v>0</v>
      </c>
      <c r="Z38" s="254">
        <v>0</v>
      </c>
      <c r="AA38" s="257">
        <v>0</v>
      </c>
      <c r="AB38" s="412">
        <f t="shared" si="83"/>
        <v>428</v>
      </c>
      <c r="AC38" s="254">
        <f t="shared" si="84"/>
        <v>428</v>
      </c>
      <c r="AD38" s="254">
        <f t="shared" si="85"/>
        <v>163</v>
      </c>
      <c r="AE38" s="382">
        <f t="shared" si="85"/>
        <v>265</v>
      </c>
      <c r="AF38" s="424">
        <f t="shared" si="86"/>
        <v>163</v>
      </c>
      <c r="AG38" s="561">
        <v>163</v>
      </c>
      <c r="AH38" s="556">
        <v>0</v>
      </c>
      <c r="AI38" s="254">
        <f t="shared" si="87"/>
        <v>265</v>
      </c>
      <c r="AJ38" s="556">
        <v>0</v>
      </c>
      <c r="AK38" s="556">
        <v>265</v>
      </c>
      <c r="AL38" s="254">
        <v>0</v>
      </c>
      <c r="AM38" s="254">
        <v>0</v>
      </c>
      <c r="AN38" s="254">
        <v>0</v>
      </c>
      <c r="AO38" s="254">
        <v>0</v>
      </c>
      <c r="AP38" s="257">
        <v>0</v>
      </c>
      <c r="AQ38" s="448">
        <v>23</v>
      </c>
      <c r="AR38" s="349"/>
    </row>
    <row r="39" spans="1:44" ht="20.25" customHeight="1">
      <c r="A39" s="809">
        <v>24</v>
      </c>
      <c r="B39" s="439" t="s">
        <v>123</v>
      </c>
      <c r="C39" s="412">
        <f t="shared" si="68"/>
        <v>14935</v>
      </c>
      <c r="D39" s="254">
        <f t="shared" si="69"/>
        <v>14935</v>
      </c>
      <c r="E39" s="254">
        <f t="shared" si="70"/>
        <v>13240</v>
      </c>
      <c r="F39" s="254">
        <f t="shared" si="70"/>
        <v>1695</v>
      </c>
      <c r="G39" s="254">
        <f t="shared" si="71"/>
        <v>13240</v>
      </c>
      <c r="H39" s="254">
        <f t="shared" si="72"/>
        <v>13240</v>
      </c>
      <c r="I39" s="412">
        <f t="shared" si="73"/>
        <v>0</v>
      </c>
      <c r="J39" s="382">
        <f t="shared" si="74"/>
        <v>1695</v>
      </c>
      <c r="K39" s="254">
        <f t="shared" si="75"/>
        <v>0</v>
      </c>
      <c r="L39" s="254">
        <f t="shared" si="75"/>
        <v>1695</v>
      </c>
      <c r="M39" s="254">
        <f t="shared" si="76"/>
        <v>0</v>
      </c>
      <c r="N39" s="412">
        <f t="shared" si="77"/>
        <v>0</v>
      </c>
      <c r="O39" s="254">
        <f t="shared" si="78"/>
        <v>0</v>
      </c>
      <c r="P39" s="254">
        <f t="shared" si="79"/>
        <v>0</v>
      </c>
      <c r="Q39" s="254">
        <f t="shared" si="80"/>
        <v>0</v>
      </c>
      <c r="R39" s="254">
        <f t="shared" si="81"/>
        <v>0</v>
      </c>
      <c r="S39" s="254">
        <v>0</v>
      </c>
      <c r="T39" s="257">
        <v>0</v>
      </c>
      <c r="U39" s="447">
        <v>24</v>
      </c>
      <c r="V39" s="809">
        <v>24</v>
      </c>
      <c r="W39" s="812" t="s">
        <v>123</v>
      </c>
      <c r="X39" s="412">
        <f t="shared" si="82"/>
        <v>0</v>
      </c>
      <c r="Y39" s="254">
        <v>0</v>
      </c>
      <c r="Z39" s="254">
        <v>0</v>
      </c>
      <c r="AA39" s="257">
        <v>0</v>
      </c>
      <c r="AB39" s="412">
        <f t="shared" si="83"/>
        <v>14935</v>
      </c>
      <c r="AC39" s="254">
        <f t="shared" si="84"/>
        <v>14935</v>
      </c>
      <c r="AD39" s="254">
        <f t="shared" si="85"/>
        <v>13240</v>
      </c>
      <c r="AE39" s="382">
        <f t="shared" si="85"/>
        <v>1695</v>
      </c>
      <c r="AF39" s="424">
        <f t="shared" si="86"/>
        <v>13240</v>
      </c>
      <c r="AG39" s="561">
        <v>13240</v>
      </c>
      <c r="AH39" s="556">
        <v>0</v>
      </c>
      <c r="AI39" s="254">
        <f t="shared" si="87"/>
        <v>1695</v>
      </c>
      <c r="AJ39" s="556">
        <v>0</v>
      </c>
      <c r="AK39" s="556">
        <v>1695</v>
      </c>
      <c r="AL39" s="254">
        <v>0</v>
      </c>
      <c r="AM39" s="254">
        <v>0</v>
      </c>
      <c r="AN39" s="254">
        <v>0</v>
      </c>
      <c r="AO39" s="254">
        <v>0</v>
      </c>
      <c r="AP39" s="257">
        <v>0</v>
      </c>
      <c r="AQ39" s="448">
        <v>24</v>
      </c>
      <c r="AR39" s="349"/>
    </row>
    <row r="40" spans="1:44" ht="20.25" customHeight="1">
      <c r="A40" s="809">
        <v>25</v>
      </c>
      <c r="B40" s="439" t="s">
        <v>115</v>
      </c>
      <c r="C40" s="412">
        <f>D40+M40</f>
        <v>5189607</v>
      </c>
      <c r="D40" s="254">
        <f>E40+F40</f>
        <v>5189597</v>
      </c>
      <c r="E40" s="254">
        <f>H40+K40</f>
        <v>4362401</v>
      </c>
      <c r="F40" s="254">
        <f>I40+L40</f>
        <v>827196</v>
      </c>
      <c r="G40" s="254">
        <f>H40+I40</f>
        <v>4395297</v>
      </c>
      <c r="H40" s="254">
        <f>S40+AG40</f>
        <v>4350892</v>
      </c>
      <c r="I40" s="412">
        <f>T40+AH40</f>
        <v>44405</v>
      </c>
      <c r="J40" s="382">
        <f>K40+L40</f>
        <v>794300</v>
      </c>
      <c r="K40" s="254">
        <f aca="true" t="shared" si="88" ref="K40:M41">Y40+AJ40</f>
        <v>11509</v>
      </c>
      <c r="L40" s="254">
        <f t="shared" si="88"/>
        <v>782791</v>
      </c>
      <c r="M40" s="254">
        <f t="shared" si="88"/>
        <v>10</v>
      </c>
      <c r="N40" s="412">
        <f>O40+AA40</f>
        <v>846568</v>
      </c>
      <c r="O40" s="254">
        <f>P40+Q40</f>
        <v>846558</v>
      </c>
      <c r="P40" s="254">
        <f>S40+Y40</f>
        <v>636009</v>
      </c>
      <c r="Q40" s="254">
        <f>T40+Z40</f>
        <v>210549</v>
      </c>
      <c r="R40" s="254">
        <f>S40+T40</f>
        <v>665066</v>
      </c>
      <c r="S40" s="254">
        <v>624500</v>
      </c>
      <c r="T40" s="257">
        <v>40566</v>
      </c>
      <c r="U40" s="238">
        <v>25</v>
      </c>
      <c r="V40" s="809">
        <v>25</v>
      </c>
      <c r="W40" s="812" t="s">
        <v>115</v>
      </c>
      <c r="X40" s="412">
        <f>Y40+Z40</f>
        <v>181492</v>
      </c>
      <c r="Y40" s="254">
        <v>11509</v>
      </c>
      <c r="Z40" s="254">
        <v>169983</v>
      </c>
      <c r="AA40" s="257">
        <v>10</v>
      </c>
      <c r="AB40" s="412">
        <f>+AC40+AL40</f>
        <v>4343039</v>
      </c>
      <c r="AC40" s="254">
        <f>AD40+AE40</f>
        <v>4343039</v>
      </c>
      <c r="AD40" s="254">
        <f>AG40+AJ40</f>
        <v>3726392</v>
      </c>
      <c r="AE40" s="382">
        <f>AH40+AK40</f>
        <v>616647</v>
      </c>
      <c r="AF40" s="424">
        <f>AG40+AH40</f>
        <v>3730231</v>
      </c>
      <c r="AG40" s="561">
        <v>3726392</v>
      </c>
      <c r="AH40" s="556">
        <v>3839</v>
      </c>
      <c r="AI40" s="254">
        <f>AJ40+AK40</f>
        <v>612808</v>
      </c>
      <c r="AJ40" s="556">
        <v>0</v>
      </c>
      <c r="AK40" s="556">
        <v>612808</v>
      </c>
      <c r="AL40" s="254">
        <v>0</v>
      </c>
      <c r="AM40" s="254">
        <v>0</v>
      </c>
      <c r="AN40" s="254">
        <v>0</v>
      </c>
      <c r="AO40" s="254">
        <v>0</v>
      </c>
      <c r="AP40" s="257">
        <v>0</v>
      </c>
      <c r="AQ40" s="233">
        <v>25</v>
      </c>
      <c r="AR40" s="349"/>
    </row>
    <row r="41" spans="1:44" ht="20.25" customHeight="1" thickBot="1">
      <c r="A41" s="811">
        <v>26</v>
      </c>
      <c r="B41" s="478" t="s">
        <v>178</v>
      </c>
      <c r="C41" s="413">
        <f>D41+M41</f>
        <v>4215576</v>
      </c>
      <c r="D41" s="266">
        <f>E41+F41</f>
        <v>4215576</v>
      </c>
      <c r="E41" s="266">
        <f>H41+K41</f>
        <v>3049726</v>
      </c>
      <c r="F41" s="266">
        <f>I41+L41</f>
        <v>1165850</v>
      </c>
      <c r="G41" s="266">
        <f>H41+I41</f>
        <v>3042136</v>
      </c>
      <c r="H41" s="266">
        <f>S41+AG41</f>
        <v>3036244</v>
      </c>
      <c r="I41" s="413">
        <f>T41+AH41</f>
        <v>5892</v>
      </c>
      <c r="J41" s="384">
        <f>K41+L41</f>
        <v>1173440</v>
      </c>
      <c r="K41" s="266">
        <f t="shared" si="88"/>
        <v>13482</v>
      </c>
      <c r="L41" s="266">
        <f t="shared" si="88"/>
        <v>1159958</v>
      </c>
      <c r="M41" s="266">
        <f t="shared" si="88"/>
        <v>0</v>
      </c>
      <c r="N41" s="413">
        <f>O41+AA41</f>
        <v>110097</v>
      </c>
      <c r="O41" s="266">
        <f>P41+Q41</f>
        <v>110097</v>
      </c>
      <c r="P41" s="266">
        <f>S41+Y41</f>
        <v>81200</v>
      </c>
      <c r="Q41" s="266">
        <f>T41+Z41</f>
        <v>28897</v>
      </c>
      <c r="R41" s="266">
        <f>S41+T41</f>
        <v>84072</v>
      </c>
      <c r="S41" s="266">
        <v>79663</v>
      </c>
      <c r="T41" s="385">
        <v>4409</v>
      </c>
      <c r="U41" s="259">
        <v>26</v>
      </c>
      <c r="V41" s="811">
        <v>26</v>
      </c>
      <c r="W41" s="482" t="s">
        <v>178</v>
      </c>
      <c r="X41" s="413">
        <f>Y41+Z41</f>
        <v>26025</v>
      </c>
      <c r="Y41" s="266">
        <v>1537</v>
      </c>
      <c r="Z41" s="266">
        <v>24488</v>
      </c>
      <c r="AA41" s="385">
        <v>0</v>
      </c>
      <c r="AB41" s="413">
        <f>+AC41+AL41</f>
        <v>4105479</v>
      </c>
      <c r="AC41" s="266">
        <f>AD41+AE41</f>
        <v>4105479</v>
      </c>
      <c r="AD41" s="525">
        <f>AG41+AJ41</f>
        <v>2968526</v>
      </c>
      <c r="AE41" s="526">
        <f>AH41+AK41</f>
        <v>1136953</v>
      </c>
      <c r="AF41" s="425">
        <f>AG41+AH41</f>
        <v>2958064</v>
      </c>
      <c r="AG41" s="562">
        <v>2956581</v>
      </c>
      <c r="AH41" s="563">
        <v>1483</v>
      </c>
      <c r="AI41" s="266">
        <f>AJ41+AK41</f>
        <v>1147415</v>
      </c>
      <c r="AJ41" s="563">
        <v>11945</v>
      </c>
      <c r="AK41" s="563">
        <v>1135470</v>
      </c>
      <c r="AL41" s="266">
        <v>0</v>
      </c>
      <c r="AM41" s="266">
        <v>0</v>
      </c>
      <c r="AN41" s="266">
        <v>0</v>
      </c>
      <c r="AO41" s="266">
        <v>0</v>
      </c>
      <c r="AP41" s="385">
        <v>0</v>
      </c>
      <c r="AQ41" s="258">
        <v>26</v>
      </c>
      <c r="AR41" s="349"/>
    </row>
    <row r="42" spans="1:44" s="367" customFormat="1" ht="24.75" customHeight="1">
      <c r="A42" s="953" t="s">
        <v>87</v>
      </c>
      <c r="B42" s="1032"/>
      <c r="C42" s="416">
        <f aca="true" t="shared" si="89" ref="C42:M42">C43+C46+C50</f>
        <v>31192971</v>
      </c>
      <c r="D42" s="400">
        <f t="shared" si="89"/>
        <v>31191151</v>
      </c>
      <c r="E42" s="400">
        <f t="shared" si="89"/>
        <v>24140313</v>
      </c>
      <c r="F42" s="400">
        <f t="shared" si="89"/>
        <v>7050838</v>
      </c>
      <c r="G42" s="400">
        <f t="shared" si="89"/>
        <v>24171620</v>
      </c>
      <c r="H42" s="400">
        <f t="shared" si="89"/>
        <v>23880091</v>
      </c>
      <c r="I42" s="416">
        <f t="shared" si="89"/>
        <v>291529</v>
      </c>
      <c r="J42" s="401">
        <f t="shared" si="89"/>
        <v>7019531</v>
      </c>
      <c r="K42" s="400">
        <f t="shared" si="89"/>
        <v>260222</v>
      </c>
      <c r="L42" s="400">
        <f t="shared" si="89"/>
        <v>6759309</v>
      </c>
      <c r="M42" s="400">
        <f t="shared" si="89"/>
        <v>1820</v>
      </c>
      <c r="N42" s="416">
        <f aca="true" t="shared" si="90" ref="N42:T42">+N43+N46+N50</f>
        <v>4253625</v>
      </c>
      <c r="O42" s="400">
        <f t="shared" si="90"/>
        <v>4251805</v>
      </c>
      <c r="P42" s="400">
        <f t="shared" si="90"/>
        <v>2255231</v>
      </c>
      <c r="Q42" s="400">
        <f t="shared" si="90"/>
        <v>1996574</v>
      </c>
      <c r="R42" s="400">
        <f t="shared" si="90"/>
        <v>2279444</v>
      </c>
      <c r="S42" s="400">
        <f t="shared" si="90"/>
        <v>2015384</v>
      </c>
      <c r="T42" s="417">
        <f t="shared" si="90"/>
        <v>264060</v>
      </c>
      <c r="U42" s="398"/>
      <c r="V42" s="953" t="s">
        <v>87</v>
      </c>
      <c r="W42" s="1033"/>
      <c r="X42" s="416">
        <f>+X43+X46+X50</f>
        <v>1972361</v>
      </c>
      <c r="Y42" s="400">
        <f>+Y43+Y46+Y50</f>
        <v>239847</v>
      </c>
      <c r="Z42" s="400">
        <f>+Z43+Z46+Z50</f>
        <v>1732514</v>
      </c>
      <c r="AA42" s="417">
        <f>+AA43+AA46+AA50</f>
        <v>1820</v>
      </c>
      <c r="AB42" s="416">
        <f aca="true" t="shared" si="91" ref="AB42:AK42">AB43+AB46+AB50</f>
        <v>26939346</v>
      </c>
      <c r="AC42" s="400">
        <f t="shared" si="91"/>
        <v>26939346</v>
      </c>
      <c r="AD42" s="400">
        <f t="shared" si="91"/>
        <v>21885082</v>
      </c>
      <c r="AE42" s="401">
        <f t="shared" si="91"/>
        <v>5054264</v>
      </c>
      <c r="AF42" s="426">
        <f t="shared" si="91"/>
        <v>21892176</v>
      </c>
      <c r="AG42" s="399">
        <f t="shared" si="91"/>
        <v>21864707</v>
      </c>
      <c r="AH42" s="400">
        <f t="shared" si="91"/>
        <v>27469</v>
      </c>
      <c r="AI42" s="400">
        <f t="shared" si="91"/>
        <v>5047170</v>
      </c>
      <c r="AJ42" s="400">
        <f t="shared" si="91"/>
        <v>20375</v>
      </c>
      <c r="AK42" s="400">
        <f t="shared" si="91"/>
        <v>5026795</v>
      </c>
      <c r="AL42" s="365">
        <v>0</v>
      </c>
      <c r="AM42" s="365">
        <v>0</v>
      </c>
      <c r="AN42" s="365">
        <v>0</v>
      </c>
      <c r="AO42" s="365">
        <v>0</v>
      </c>
      <c r="AP42" s="366">
        <v>0</v>
      </c>
      <c r="AQ42" s="492"/>
      <c r="AR42" s="379"/>
    </row>
    <row r="43" spans="1:43" s="379" customFormat="1" ht="22.5" customHeight="1">
      <c r="A43" s="927" t="s">
        <v>379</v>
      </c>
      <c r="B43" s="1030"/>
      <c r="C43" s="411">
        <f>D43+M43</f>
        <v>10296282</v>
      </c>
      <c r="D43" s="365">
        <f>E43+F43</f>
        <v>10295942</v>
      </c>
      <c r="E43" s="365">
        <f aca="true" t="shared" si="92" ref="E43:F45">H43+K43</f>
        <v>7910355</v>
      </c>
      <c r="F43" s="365">
        <f t="shared" si="92"/>
        <v>2385587</v>
      </c>
      <c r="G43" s="365">
        <f aca="true" t="shared" si="93" ref="G43:G54">H43+I43</f>
        <v>7982923</v>
      </c>
      <c r="H43" s="365">
        <f aca="true" t="shared" si="94" ref="H43:I45">S43+AG43</f>
        <v>7858073</v>
      </c>
      <c r="I43" s="411">
        <f t="shared" si="94"/>
        <v>124850</v>
      </c>
      <c r="J43" s="377">
        <f aca="true" t="shared" si="95" ref="J43:J54">K43+L43</f>
        <v>2313019</v>
      </c>
      <c r="K43" s="365">
        <f aca="true" t="shared" si="96" ref="K43:M45">Y43+AJ43</f>
        <v>52282</v>
      </c>
      <c r="L43" s="365">
        <f t="shared" si="96"/>
        <v>2260737</v>
      </c>
      <c r="M43" s="365">
        <f>SUM(M44:M45)</f>
        <v>340</v>
      </c>
      <c r="N43" s="411">
        <f aca="true" t="shared" si="97" ref="N43:N54">O43+AA43</f>
        <v>1764072</v>
      </c>
      <c r="O43" s="365">
        <f aca="true" t="shared" si="98" ref="O43:O54">P43+Q43</f>
        <v>1763732</v>
      </c>
      <c r="P43" s="365">
        <f aca="true" t="shared" si="99" ref="P43:Q45">S43+Y43</f>
        <v>1045901</v>
      </c>
      <c r="Q43" s="365">
        <f t="shared" si="99"/>
        <v>717831</v>
      </c>
      <c r="R43" s="365">
        <f aca="true" t="shared" si="100" ref="R43:R54">S43+T43</f>
        <v>1108841</v>
      </c>
      <c r="S43" s="365">
        <f>SUM(S44:S45)</f>
        <v>993669</v>
      </c>
      <c r="T43" s="366">
        <f>SUM(T44:T45)</f>
        <v>115172</v>
      </c>
      <c r="U43" s="398"/>
      <c r="V43" s="927" t="s">
        <v>379</v>
      </c>
      <c r="W43" s="1029"/>
      <c r="X43" s="411">
        <f aca="true" t="shared" si="101" ref="X43:X54">Y43+Z43</f>
        <v>654891</v>
      </c>
      <c r="Y43" s="365">
        <f>SUM(Y44:Y45)</f>
        <v>52232</v>
      </c>
      <c r="Z43" s="365">
        <f>SUM(Z44:Z45)</f>
        <v>602659</v>
      </c>
      <c r="AA43" s="366">
        <f>SUM(AA44:AA45)</f>
        <v>340</v>
      </c>
      <c r="AB43" s="408">
        <f aca="true" t="shared" si="102" ref="AB43:AB54">+AC43+AL43</f>
        <v>8532210</v>
      </c>
      <c r="AC43" s="365">
        <f aca="true" t="shared" si="103" ref="AC43:AC54">AD43+AE43</f>
        <v>8532210</v>
      </c>
      <c r="AD43" s="365">
        <f aca="true" t="shared" si="104" ref="AD43:AE45">AG43+AJ43</f>
        <v>6864454</v>
      </c>
      <c r="AE43" s="377">
        <f t="shared" si="104"/>
        <v>1667756</v>
      </c>
      <c r="AF43" s="422">
        <f>SUM(AF44:AF45)</f>
        <v>6874082</v>
      </c>
      <c r="AG43" s="376">
        <f>SUM(AG44:AG45)</f>
        <v>6864404</v>
      </c>
      <c r="AH43" s="365">
        <f>SUM(AH44:AH45)</f>
        <v>9678</v>
      </c>
      <c r="AI43" s="365">
        <f>AJ43+AK43</f>
        <v>1658128</v>
      </c>
      <c r="AJ43" s="365">
        <f>SUM(AJ44:AJ45)</f>
        <v>50</v>
      </c>
      <c r="AK43" s="365">
        <f>SUM(AK44:AK45)</f>
        <v>1658078</v>
      </c>
      <c r="AL43" s="365">
        <v>0</v>
      </c>
      <c r="AM43" s="365">
        <v>0</v>
      </c>
      <c r="AN43" s="365">
        <v>0</v>
      </c>
      <c r="AO43" s="365">
        <v>0</v>
      </c>
      <c r="AP43" s="366">
        <v>0</v>
      </c>
      <c r="AQ43" s="492"/>
    </row>
    <row r="44" spans="1:43" s="349" customFormat="1" ht="20.25" customHeight="1">
      <c r="A44" s="809">
        <v>27</v>
      </c>
      <c r="B44" s="439" t="s">
        <v>124</v>
      </c>
      <c r="C44" s="412">
        <f aca="true" t="shared" si="105" ref="C44:C54">D44+M44</f>
        <v>5966071</v>
      </c>
      <c r="D44" s="254">
        <f aca="true" t="shared" si="106" ref="D44:D54">E44+F44</f>
        <v>5966071</v>
      </c>
      <c r="E44" s="254">
        <f t="shared" si="92"/>
        <v>4736192</v>
      </c>
      <c r="F44" s="254">
        <f t="shared" si="92"/>
        <v>1229879</v>
      </c>
      <c r="G44" s="254">
        <f t="shared" si="93"/>
        <v>4781231</v>
      </c>
      <c r="H44" s="254">
        <f t="shared" si="94"/>
        <v>4713188</v>
      </c>
      <c r="I44" s="412">
        <f t="shared" si="94"/>
        <v>68043</v>
      </c>
      <c r="J44" s="382">
        <f t="shared" si="95"/>
        <v>1184840</v>
      </c>
      <c r="K44" s="254">
        <f t="shared" si="96"/>
        <v>23004</v>
      </c>
      <c r="L44" s="254">
        <f t="shared" si="96"/>
        <v>1161836</v>
      </c>
      <c r="M44" s="254">
        <f t="shared" si="96"/>
        <v>0</v>
      </c>
      <c r="N44" s="412">
        <f t="shared" si="97"/>
        <v>656807</v>
      </c>
      <c r="O44" s="254">
        <f t="shared" si="98"/>
        <v>656807</v>
      </c>
      <c r="P44" s="254">
        <f t="shared" si="99"/>
        <v>493632</v>
      </c>
      <c r="Q44" s="254">
        <f t="shared" si="99"/>
        <v>163175</v>
      </c>
      <c r="R44" s="254">
        <f t="shared" si="100"/>
        <v>532070</v>
      </c>
      <c r="S44" s="254">
        <v>470678</v>
      </c>
      <c r="T44" s="257">
        <v>61392</v>
      </c>
      <c r="U44" s="351">
        <v>27</v>
      </c>
      <c r="V44" s="809">
        <v>27</v>
      </c>
      <c r="W44" s="812" t="s">
        <v>124</v>
      </c>
      <c r="X44" s="412">
        <f t="shared" si="101"/>
        <v>124737</v>
      </c>
      <c r="Y44" s="254">
        <v>22954</v>
      </c>
      <c r="Z44" s="254">
        <v>101783</v>
      </c>
      <c r="AA44" s="257">
        <v>0</v>
      </c>
      <c r="AB44" s="412">
        <f t="shared" si="102"/>
        <v>5309264</v>
      </c>
      <c r="AC44" s="254">
        <f t="shared" si="103"/>
        <v>5309264</v>
      </c>
      <c r="AD44" s="254">
        <f t="shared" si="104"/>
        <v>4242560</v>
      </c>
      <c r="AE44" s="382">
        <f t="shared" si="104"/>
        <v>1066704</v>
      </c>
      <c r="AF44" s="424">
        <f>+AG44+AH44</f>
        <v>4249161</v>
      </c>
      <c r="AG44" s="381">
        <v>4242510</v>
      </c>
      <c r="AH44" s="254">
        <v>6651</v>
      </c>
      <c r="AI44" s="254">
        <f>+AJ44+AK44</f>
        <v>1060103</v>
      </c>
      <c r="AJ44" s="254">
        <v>50</v>
      </c>
      <c r="AK44" s="254">
        <v>1060053</v>
      </c>
      <c r="AL44" s="254">
        <v>0</v>
      </c>
      <c r="AM44" s="254">
        <v>0</v>
      </c>
      <c r="AN44" s="254">
        <v>0</v>
      </c>
      <c r="AO44" s="254">
        <v>0</v>
      </c>
      <c r="AP44" s="257">
        <v>0</v>
      </c>
      <c r="AQ44" s="253">
        <v>27</v>
      </c>
    </row>
    <row r="45" spans="1:43" s="349" customFormat="1" ht="20.25" customHeight="1">
      <c r="A45" s="809">
        <v>28</v>
      </c>
      <c r="B45" s="439" t="s">
        <v>125</v>
      </c>
      <c r="C45" s="412">
        <f t="shared" si="105"/>
        <v>4330211</v>
      </c>
      <c r="D45" s="254">
        <f t="shared" si="106"/>
        <v>4329871</v>
      </c>
      <c r="E45" s="254">
        <f t="shared" si="92"/>
        <v>3174163</v>
      </c>
      <c r="F45" s="254">
        <f t="shared" si="92"/>
        <v>1155708</v>
      </c>
      <c r="G45" s="254">
        <f t="shared" si="93"/>
        <v>3201692</v>
      </c>
      <c r="H45" s="254">
        <f t="shared" si="94"/>
        <v>3144885</v>
      </c>
      <c r="I45" s="412">
        <f t="shared" si="94"/>
        <v>56807</v>
      </c>
      <c r="J45" s="382">
        <f t="shared" si="95"/>
        <v>1128179</v>
      </c>
      <c r="K45" s="254">
        <f t="shared" si="96"/>
        <v>29278</v>
      </c>
      <c r="L45" s="254">
        <f t="shared" si="96"/>
        <v>1098901</v>
      </c>
      <c r="M45" s="254">
        <f t="shared" si="96"/>
        <v>340</v>
      </c>
      <c r="N45" s="412">
        <f t="shared" si="97"/>
        <v>1107265</v>
      </c>
      <c r="O45" s="254">
        <f t="shared" si="98"/>
        <v>1106925</v>
      </c>
      <c r="P45" s="254">
        <f t="shared" si="99"/>
        <v>552269</v>
      </c>
      <c r="Q45" s="254">
        <f t="shared" si="99"/>
        <v>554656</v>
      </c>
      <c r="R45" s="254">
        <f t="shared" si="100"/>
        <v>576771</v>
      </c>
      <c r="S45" s="254">
        <v>522991</v>
      </c>
      <c r="T45" s="257">
        <v>53780</v>
      </c>
      <c r="U45" s="351">
        <v>28</v>
      </c>
      <c r="V45" s="809">
        <v>28</v>
      </c>
      <c r="W45" s="812" t="s">
        <v>125</v>
      </c>
      <c r="X45" s="412">
        <f t="shared" si="101"/>
        <v>530154</v>
      </c>
      <c r="Y45" s="254">
        <v>29278</v>
      </c>
      <c r="Z45" s="254">
        <v>500876</v>
      </c>
      <c r="AA45" s="257">
        <v>340</v>
      </c>
      <c r="AB45" s="412">
        <f t="shared" si="102"/>
        <v>3222946</v>
      </c>
      <c r="AC45" s="254">
        <f t="shared" si="103"/>
        <v>3222946</v>
      </c>
      <c r="AD45" s="254">
        <f t="shared" si="104"/>
        <v>2621894</v>
      </c>
      <c r="AE45" s="382">
        <f t="shared" si="104"/>
        <v>601052</v>
      </c>
      <c r="AF45" s="424">
        <f>+AG45+AH45</f>
        <v>2624921</v>
      </c>
      <c r="AG45" s="381">
        <v>2621894</v>
      </c>
      <c r="AH45" s="254">
        <v>3027</v>
      </c>
      <c r="AI45" s="254">
        <f>+AJ45+AK45</f>
        <v>598025</v>
      </c>
      <c r="AJ45" s="254">
        <v>0</v>
      </c>
      <c r="AK45" s="254">
        <v>598025</v>
      </c>
      <c r="AL45" s="254">
        <v>0</v>
      </c>
      <c r="AM45" s="254">
        <v>0</v>
      </c>
      <c r="AN45" s="254">
        <v>0</v>
      </c>
      <c r="AO45" s="254">
        <v>0</v>
      </c>
      <c r="AP45" s="257">
        <v>0</v>
      </c>
      <c r="AQ45" s="253">
        <v>28</v>
      </c>
    </row>
    <row r="46" spans="1:43" s="379" customFormat="1" ht="22.5" customHeight="1">
      <c r="A46" s="927" t="s">
        <v>373</v>
      </c>
      <c r="B46" s="1030"/>
      <c r="C46" s="411">
        <f>D46+M46</f>
        <v>10309145</v>
      </c>
      <c r="D46" s="365">
        <f>E46+F46</f>
        <v>10307843</v>
      </c>
      <c r="E46" s="365">
        <f aca="true" t="shared" si="107" ref="E46:F49">H46+K46</f>
        <v>7776348</v>
      </c>
      <c r="F46" s="365">
        <f t="shared" si="107"/>
        <v>2531495</v>
      </c>
      <c r="G46" s="365">
        <f t="shared" si="93"/>
        <v>7688145</v>
      </c>
      <c r="H46" s="365">
        <f aca="true" t="shared" si="108" ref="H46:I49">S46+AG46</f>
        <v>7605600</v>
      </c>
      <c r="I46" s="411">
        <f t="shared" si="108"/>
        <v>82545</v>
      </c>
      <c r="J46" s="377">
        <f t="shared" si="95"/>
        <v>2619698</v>
      </c>
      <c r="K46" s="365">
        <f aca="true" t="shared" si="109" ref="K46:L49">Y46+AJ46</f>
        <v>170748</v>
      </c>
      <c r="L46" s="365">
        <f t="shared" si="109"/>
        <v>2448950</v>
      </c>
      <c r="M46" s="365">
        <f>SUM(M47:M49)</f>
        <v>1302</v>
      </c>
      <c r="N46" s="411">
        <f t="shared" si="97"/>
        <v>1310707</v>
      </c>
      <c r="O46" s="365">
        <f t="shared" si="98"/>
        <v>1309405</v>
      </c>
      <c r="P46" s="365">
        <f aca="true" t="shared" si="110" ref="P46:Q49">S46+Y46</f>
        <v>575536</v>
      </c>
      <c r="Q46" s="365">
        <f t="shared" si="110"/>
        <v>733869</v>
      </c>
      <c r="R46" s="365">
        <f t="shared" si="100"/>
        <v>500090</v>
      </c>
      <c r="S46" s="365">
        <f>SUM(S47:S49)</f>
        <v>425034</v>
      </c>
      <c r="T46" s="366">
        <f>SUM(T47:T49)</f>
        <v>75056</v>
      </c>
      <c r="U46" s="398"/>
      <c r="V46" s="927" t="s">
        <v>373</v>
      </c>
      <c r="W46" s="1029"/>
      <c r="X46" s="411">
        <f t="shared" si="101"/>
        <v>809315</v>
      </c>
      <c r="Y46" s="365">
        <f>SUM(Y47:Y49)</f>
        <v>150502</v>
      </c>
      <c r="Z46" s="365">
        <f>SUM(Z47:Z49)</f>
        <v>658813</v>
      </c>
      <c r="AA46" s="366">
        <f>SUM(AA47:AA49)</f>
        <v>1302</v>
      </c>
      <c r="AB46" s="408">
        <f t="shared" si="102"/>
        <v>8998438</v>
      </c>
      <c r="AC46" s="365">
        <f t="shared" si="103"/>
        <v>8998438</v>
      </c>
      <c r="AD46" s="365">
        <f aca="true" t="shared" si="111" ref="AD46:AE49">AG46+AJ46</f>
        <v>7200812</v>
      </c>
      <c r="AE46" s="377">
        <f t="shared" si="111"/>
        <v>1797626</v>
      </c>
      <c r="AF46" s="422">
        <f>SUM(AF47:AF49)</f>
        <v>7188055</v>
      </c>
      <c r="AG46" s="376">
        <f>SUM(AG47:AG49)</f>
        <v>7180566</v>
      </c>
      <c r="AH46" s="365">
        <f>SUM(AH47:AH49)</f>
        <v>7489</v>
      </c>
      <c r="AI46" s="365">
        <f>AJ46+AK46</f>
        <v>1810383</v>
      </c>
      <c r="AJ46" s="365">
        <f>SUM(AJ47:AJ49)</f>
        <v>20246</v>
      </c>
      <c r="AK46" s="365">
        <f>SUM(AK47:AK49)</f>
        <v>1790137</v>
      </c>
      <c r="AL46" s="365">
        <v>0</v>
      </c>
      <c r="AM46" s="365">
        <v>0</v>
      </c>
      <c r="AN46" s="365">
        <v>0</v>
      </c>
      <c r="AO46" s="365">
        <v>0</v>
      </c>
      <c r="AP46" s="366">
        <v>0</v>
      </c>
      <c r="AQ46" s="492"/>
    </row>
    <row r="47" spans="1:43" s="349" customFormat="1" ht="20.25" customHeight="1">
      <c r="A47" s="809">
        <v>29</v>
      </c>
      <c r="B47" s="439" t="s">
        <v>126</v>
      </c>
      <c r="C47" s="412">
        <f t="shared" si="105"/>
        <v>4132931</v>
      </c>
      <c r="D47" s="254">
        <f t="shared" si="106"/>
        <v>4132931</v>
      </c>
      <c r="E47" s="254">
        <f t="shared" si="107"/>
        <v>3700105</v>
      </c>
      <c r="F47" s="254">
        <f t="shared" si="107"/>
        <v>432826</v>
      </c>
      <c r="G47" s="254">
        <f t="shared" si="93"/>
        <v>3710107</v>
      </c>
      <c r="H47" s="254">
        <f t="shared" si="108"/>
        <v>3700031</v>
      </c>
      <c r="I47" s="412">
        <f t="shared" si="108"/>
        <v>10076</v>
      </c>
      <c r="J47" s="382">
        <f t="shared" si="95"/>
        <v>422824</v>
      </c>
      <c r="K47" s="254">
        <f t="shared" si="109"/>
        <v>74</v>
      </c>
      <c r="L47" s="254">
        <f t="shared" si="109"/>
        <v>422750</v>
      </c>
      <c r="M47" s="254">
        <f>AA47+AL47</f>
        <v>0</v>
      </c>
      <c r="N47" s="412">
        <f t="shared" si="97"/>
        <v>42014</v>
      </c>
      <c r="O47" s="254">
        <f t="shared" si="98"/>
        <v>42014</v>
      </c>
      <c r="P47" s="254">
        <f t="shared" si="110"/>
        <v>32510</v>
      </c>
      <c r="Q47" s="254">
        <f t="shared" si="110"/>
        <v>9504</v>
      </c>
      <c r="R47" s="254">
        <f t="shared" si="100"/>
        <v>37501</v>
      </c>
      <c r="S47" s="254">
        <v>32436</v>
      </c>
      <c r="T47" s="257">
        <v>5065</v>
      </c>
      <c r="U47" s="351">
        <v>29</v>
      </c>
      <c r="V47" s="809">
        <v>29</v>
      </c>
      <c r="W47" s="812" t="s">
        <v>126</v>
      </c>
      <c r="X47" s="412">
        <f t="shared" si="101"/>
        <v>4513</v>
      </c>
      <c r="Y47" s="254">
        <v>74</v>
      </c>
      <c r="Z47" s="254">
        <v>4439</v>
      </c>
      <c r="AA47" s="257">
        <v>0</v>
      </c>
      <c r="AB47" s="412">
        <f t="shared" si="102"/>
        <v>4090917</v>
      </c>
      <c r="AC47" s="254">
        <f t="shared" si="103"/>
        <v>4090917</v>
      </c>
      <c r="AD47" s="254">
        <f t="shared" si="111"/>
        <v>3667595</v>
      </c>
      <c r="AE47" s="382">
        <f t="shared" si="111"/>
        <v>423322</v>
      </c>
      <c r="AF47" s="424">
        <f>+AG47+AH47</f>
        <v>3672606</v>
      </c>
      <c r="AG47" s="381">
        <v>3667595</v>
      </c>
      <c r="AH47" s="254">
        <v>5011</v>
      </c>
      <c r="AI47" s="254">
        <f>+AJ47+AK47</f>
        <v>418311</v>
      </c>
      <c r="AJ47" s="254">
        <v>0</v>
      </c>
      <c r="AK47" s="254">
        <v>418311</v>
      </c>
      <c r="AL47" s="254">
        <v>0</v>
      </c>
      <c r="AM47" s="254">
        <v>0</v>
      </c>
      <c r="AN47" s="254">
        <v>0</v>
      </c>
      <c r="AO47" s="254">
        <v>0</v>
      </c>
      <c r="AP47" s="257">
        <v>0</v>
      </c>
      <c r="AQ47" s="253">
        <v>29</v>
      </c>
    </row>
    <row r="48" spans="1:43" s="349" customFormat="1" ht="20.25" customHeight="1">
      <c r="A48" s="809">
        <v>30</v>
      </c>
      <c r="B48" s="439" t="s">
        <v>127</v>
      </c>
      <c r="C48" s="412">
        <f t="shared" si="105"/>
        <v>3276035</v>
      </c>
      <c r="D48" s="254">
        <f t="shared" si="106"/>
        <v>3275313</v>
      </c>
      <c r="E48" s="254">
        <f t="shared" si="107"/>
        <v>1770804</v>
      </c>
      <c r="F48" s="254">
        <f t="shared" si="107"/>
        <v>1504509</v>
      </c>
      <c r="G48" s="254">
        <f t="shared" si="93"/>
        <v>1649968</v>
      </c>
      <c r="H48" s="254">
        <f t="shared" si="108"/>
        <v>1605436</v>
      </c>
      <c r="I48" s="412">
        <f t="shared" si="108"/>
        <v>44532</v>
      </c>
      <c r="J48" s="382">
        <f t="shared" si="95"/>
        <v>1625345</v>
      </c>
      <c r="K48" s="254">
        <f t="shared" si="109"/>
        <v>165368</v>
      </c>
      <c r="L48" s="254">
        <f t="shared" si="109"/>
        <v>1459977</v>
      </c>
      <c r="M48" s="254">
        <f>AA48+AL48</f>
        <v>722</v>
      </c>
      <c r="N48" s="412">
        <f t="shared" si="97"/>
        <v>1015548</v>
      </c>
      <c r="O48" s="254">
        <f t="shared" si="98"/>
        <v>1014826</v>
      </c>
      <c r="P48" s="254">
        <f t="shared" si="110"/>
        <v>385778</v>
      </c>
      <c r="Q48" s="254">
        <f t="shared" si="110"/>
        <v>629048</v>
      </c>
      <c r="R48" s="254">
        <f t="shared" si="100"/>
        <v>284843</v>
      </c>
      <c r="S48" s="254">
        <v>240647</v>
      </c>
      <c r="T48" s="257">
        <v>44196</v>
      </c>
      <c r="U48" s="351">
        <v>30</v>
      </c>
      <c r="V48" s="809">
        <v>30</v>
      </c>
      <c r="W48" s="812" t="s">
        <v>127</v>
      </c>
      <c r="X48" s="412">
        <f t="shared" si="101"/>
        <v>729983</v>
      </c>
      <c r="Y48" s="254">
        <v>145131</v>
      </c>
      <c r="Z48" s="254">
        <v>584852</v>
      </c>
      <c r="AA48" s="257">
        <v>722</v>
      </c>
      <c r="AB48" s="412">
        <f t="shared" si="102"/>
        <v>2260487</v>
      </c>
      <c r="AC48" s="254">
        <f t="shared" si="103"/>
        <v>2260487</v>
      </c>
      <c r="AD48" s="254">
        <f t="shared" si="111"/>
        <v>1385026</v>
      </c>
      <c r="AE48" s="382">
        <f t="shared" si="111"/>
        <v>875461</v>
      </c>
      <c r="AF48" s="424">
        <f>+AG48+AH48</f>
        <v>1365125</v>
      </c>
      <c r="AG48" s="381">
        <v>1364789</v>
      </c>
      <c r="AH48" s="254">
        <v>336</v>
      </c>
      <c r="AI48" s="254">
        <f>+AJ48+AK48</f>
        <v>895362</v>
      </c>
      <c r="AJ48" s="254">
        <v>20237</v>
      </c>
      <c r="AK48" s="254">
        <v>875125</v>
      </c>
      <c r="AL48" s="254">
        <v>0</v>
      </c>
      <c r="AM48" s="254">
        <v>0</v>
      </c>
      <c r="AN48" s="254">
        <v>0</v>
      </c>
      <c r="AO48" s="254">
        <v>0</v>
      </c>
      <c r="AP48" s="257">
        <v>0</v>
      </c>
      <c r="AQ48" s="253">
        <v>30</v>
      </c>
    </row>
    <row r="49" spans="1:43" s="349" customFormat="1" ht="20.25" customHeight="1">
      <c r="A49" s="809">
        <v>31</v>
      </c>
      <c r="B49" s="439" t="s">
        <v>137</v>
      </c>
      <c r="C49" s="412">
        <f t="shared" si="105"/>
        <v>2900179</v>
      </c>
      <c r="D49" s="254">
        <f t="shared" si="106"/>
        <v>2899599</v>
      </c>
      <c r="E49" s="254">
        <f t="shared" si="107"/>
        <v>2305439</v>
      </c>
      <c r="F49" s="254">
        <f t="shared" si="107"/>
        <v>594160</v>
      </c>
      <c r="G49" s="254">
        <f t="shared" si="93"/>
        <v>2328070</v>
      </c>
      <c r="H49" s="254">
        <f t="shared" si="108"/>
        <v>2300133</v>
      </c>
      <c r="I49" s="412">
        <f t="shared" si="108"/>
        <v>27937</v>
      </c>
      <c r="J49" s="382">
        <f t="shared" si="95"/>
        <v>571529</v>
      </c>
      <c r="K49" s="254">
        <f t="shared" si="109"/>
        <v>5306</v>
      </c>
      <c r="L49" s="254">
        <f t="shared" si="109"/>
        <v>566223</v>
      </c>
      <c r="M49" s="254">
        <f>AA49+AL49</f>
        <v>580</v>
      </c>
      <c r="N49" s="412">
        <f t="shared" si="97"/>
        <v>253145</v>
      </c>
      <c r="O49" s="254">
        <f t="shared" si="98"/>
        <v>252565</v>
      </c>
      <c r="P49" s="254">
        <f t="shared" si="110"/>
        <v>157248</v>
      </c>
      <c r="Q49" s="254">
        <f t="shared" si="110"/>
        <v>95317</v>
      </c>
      <c r="R49" s="254">
        <f t="shared" si="100"/>
        <v>177746</v>
      </c>
      <c r="S49" s="254">
        <v>151951</v>
      </c>
      <c r="T49" s="257">
        <v>25795</v>
      </c>
      <c r="U49" s="351">
        <v>31</v>
      </c>
      <c r="V49" s="809">
        <v>31</v>
      </c>
      <c r="W49" s="812" t="s">
        <v>137</v>
      </c>
      <c r="X49" s="412">
        <f t="shared" si="101"/>
        <v>74819</v>
      </c>
      <c r="Y49" s="254">
        <v>5297</v>
      </c>
      <c r="Z49" s="254">
        <v>69522</v>
      </c>
      <c r="AA49" s="257">
        <v>580</v>
      </c>
      <c r="AB49" s="412">
        <f t="shared" si="102"/>
        <v>2647034</v>
      </c>
      <c r="AC49" s="254">
        <f t="shared" si="103"/>
        <v>2647034</v>
      </c>
      <c r="AD49" s="254">
        <f t="shared" si="111"/>
        <v>2148191</v>
      </c>
      <c r="AE49" s="382">
        <f t="shared" si="111"/>
        <v>498843</v>
      </c>
      <c r="AF49" s="424">
        <f>+AG49+AH49</f>
        <v>2150324</v>
      </c>
      <c r="AG49" s="381">
        <v>2148182</v>
      </c>
      <c r="AH49" s="254">
        <v>2142</v>
      </c>
      <c r="AI49" s="254">
        <f>+AJ49+AK49</f>
        <v>496710</v>
      </c>
      <c r="AJ49" s="254">
        <v>9</v>
      </c>
      <c r="AK49" s="254">
        <v>496701</v>
      </c>
      <c r="AL49" s="254">
        <v>0</v>
      </c>
      <c r="AM49" s="254">
        <v>0</v>
      </c>
      <c r="AN49" s="254">
        <v>0</v>
      </c>
      <c r="AO49" s="254">
        <v>0</v>
      </c>
      <c r="AP49" s="257">
        <v>0</v>
      </c>
      <c r="AQ49" s="253">
        <v>31</v>
      </c>
    </row>
    <row r="50" spans="1:43" s="379" customFormat="1" ht="22.5" customHeight="1">
      <c r="A50" s="927" t="s">
        <v>374</v>
      </c>
      <c r="B50" s="1030"/>
      <c r="C50" s="411">
        <f t="shared" si="105"/>
        <v>10587544</v>
      </c>
      <c r="D50" s="365">
        <f t="shared" si="106"/>
        <v>10587366</v>
      </c>
      <c r="E50" s="365">
        <f aca="true" t="shared" si="112" ref="E50:F54">H50+K50</f>
        <v>8453610</v>
      </c>
      <c r="F50" s="365">
        <f t="shared" si="112"/>
        <v>2133756</v>
      </c>
      <c r="G50" s="365">
        <f t="shared" si="93"/>
        <v>8500552</v>
      </c>
      <c r="H50" s="365">
        <f aca="true" t="shared" si="113" ref="H50:I54">S50+AG50</f>
        <v>8416418</v>
      </c>
      <c r="I50" s="411">
        <f t="shared" si="113"/>
        <v>84134</v>
      </c>
      <c r="J50" s="377">
        <f t="shared" si="95"/>
        <v>2086814</v>
      </c>
      <c r="K50" s="365">
        <f aca="true" t="shared" si="114" ref="K50:M54">Y50+AJ50</f>
        <v>37192</v>
      </c>
      <c r="L50" s="365">
        <f t="shared" si="114"/>
        <v>2049622</v>
      </c>
      <c r="M50" s="365">
        <f>SUM(M51:M54)</f>
        <v>178</v>
      </c>
      <c r="N50" s="411">
        <f t="shared" si="97"/>
        <v>1178846</v>
      </c>
      <c r="O50" s="365">
        <f t="shared" si="98"/>
        <v>1178668</v>
      </c>
      <c r="P50" s="365">
        <f aca="true" t="shared" si="115" ref="P50:Q54">S50+Y50</f>
        <v>633794</v>
      </c>
      <c r="Q50" s="365">
        <f t="shared" si="115"/>
        <v>544874</v>
      </c>
      <c r="R50" s="365">
        <f t="shared" si="100"/>
        <v>670513</v>
      </c>
      <c r="S50" s="365">
        <f>SUM(S51:S54)</f>
        <v>596681</v>
      </c>
      <c r="T50" s="366">
        <f>SUM(T51:T54)</f>
        <v>73832</v>
      </c>
      <c r="U50" s="398"/>
      <c r="V50" s="927" t="s">
        <v>374</v>
      </c>
      <c r="W50" s="1029"/>
      <c r="X50" s="411">
        <f t="shared" si="101"/>
        <v>508155</v>
      </c>
      <c r="Y50" s="365">
        <f>SUM(Y51:Y54)</f>
        <v>37113</v>
      </c>
      <c r="Z50" s="365">
        <f>SUM(Z51:Z54)</f>
        <v>471042</v>
      </c>
      <c r="AA50" s="366">
        <f>SUM(AA51:AA54)</f>
        <v>178</v>
      </c>
      <c r="AB50" s="408">
        <f t="shared" si="102"/>
        <v>9408698</v>
      </c>
      <c r="AC50" s="365">
        <f t="shared" si="103"/>
        <v>9408698</v>
      </c>
      <c r="AD50" s="365">
        <f aca="true" t="shared" si="116" ref="AD50:AE54">AG50+AJ50</f>
        <v>7819816</v>
      </c>
      <c r="AE50" s="377">
        <f t="shared" si="116"/>
        <v>1588882</v>
      </c>
      <c r="AF50" s="422">
        <f>SUM(AF51:AF54)</f>
        <v>7830039</v>
      </c>
      <c r="AG50" s="376">
        <f>SUM(AG51:AG54)</f>
        <v>7819737</v>
      </c>
      <c r="AH50" s="365">
        <f>SUM(AH51:AH54)</f>
        <v>10302</v>
      </c>
      <c r="AI50" s="365">
        <f>AJ50+AK50</f>
        <v>1578659</v>
      </c>
      <c r="AJ50" s="365">
        <f>SUM(AJ51:AJ54)</f>
        <v>79</v>
      </c>
      <c r="AK50" s="365">
        <f>SUM(AK51:AK54)</f>
        <v>1578580</v>
      </c>
      <c r="AL50" s="365">
        <v>0</v>
      </c>
      <c r="AM50" s="365">
        <v>0</v>
      </c>
      <c r="AN50" s="365">
        <v>0</v>
      </c>
      <c r="AO50" s="365">
        <v>0</v>
      </c>
      <c r="AP50" s="366">
        <v>0</v>
      </c>
      <c r="AQ50" s="492"/>
    </row>
    <row r="51" spans="1:43" s="349" customFormat="1" ht="20.25" customHeight="1">
      <c r="A51" s="809">
        <v>32</v>
      </c>
      <c r="B51" s="439" t="s">
        <v>128</v>
      </c>
      <c r="C51" s="412">
        <f t="shared" si="105"/>
        <v>1476975</v>
      </c>
      <c r="D51" s="254">
        <f t="shared" si="106"/>
        <v>1476975</v>
      </c>
      <c r="E51" s="254">
        <f t="shared" si="112"/>
        <v>1201198</v>
      </c>
      <c r="F51" s="254">
        <f t="shared" si="112"/>
        <v>275777</v>
      </c>
      <c r="G51" s="254">
        <f t="shared" si="93"/>
        <v>1209362</v>
      </c>
      <c r="H51" s="254">
        <f t="shared" si="113"/>
        <v>1200467</v>
      </c>
      <c r="I51" s="412">
        <f t="shared" si="113"/>
        <v>8895</v>
      </c>
      <c r="J51" s="382">
        <f t="shared" si="95"/>
        <v>267613</v>
      </c>
      <c r="K51" s="254">
        <f t="shared" si="114"/>
        <v>731</v>
      </c>
      <c r="L51" s="254">
        <f t="shared" si="114"/>
        <v>266882</v>
      </c>
      <c r="M51" s="254">
        <f t="shared" si="114"/>
        <v>0</v>
      </c>
      <c r="N51" s="412">
        <f t="shared" si="97"/>
        <v>76987</v>
      </c>
      <c r="O51" s="254">
        <f t="shared" si="98"/>
        <v>76987</v>
      </c>
      <c r="P51" s="254">
        <f t="shared" si="115"/>
        <v>54673</v>
      </c>
      <c r="Q51" s="254">
        <f t="shared" si="115"/>
        <v>22314</v>
      </c>
      <c r="R51" s="254">
        <f t="shared" si="100"/>
        <v>59493</v>
      </c>
      <c r="S51" s="254">
        <v>53942</v>
      </c>
      <c r="T51" s="257">
        <v>5551</v>
      </c>
      <c r="U51" s="351">
        <v>32</v>
      </c>
      <c r="V51" s="809">
        <v>32</v>
      </c>
      <c r="W51" s="812" t="s">
        <v>128</v>
      </c>
      <c r="X51" s="412">
        <f t="shared" si="101"/>
        <v>17494</v>
      </c>
      <c r="Y51" s="254">
        <v>731</v>
      </c>
      <c r="Z51" s="254">
        <v>16763</v>
      </c>
      <c r="AA51" s="257">
        <v>0</v>
      </c>
      <c r="AB51" s="412">
        <f t="shared" si="102"/>
        <v>1399988</v>
      </c>
      <c r="AC51" s="254">
        <f t="shared" si="103"/>
        <v>1399988</v>
      </c>
      <c r="AD51" s="254">
        <f t="shared" si="116"/>
        <v>1146525</v>
      </c>
      <c r="AE51" s="382">
        <f t="shared" si="116"/>
        <v>253463</v>
      </c>
      <c r="AF51" s="424">
        <f>+AG51+AH51</f>
        <v>1149869</v>
      </c>
      <c r="AG51" s="381">
        <v>1146525</v>
      </c>
      <c r="AH51" s="254">
        <v>3344</v>
      </c>
      <c r="AI51" s="254">
        <f>+AJ51+AK51</f>
        <v>250119</v>
      </c>
      <c r="AJ51" s="254">
        <v>0</v>
      </c>
      <c r="AK51" s="254">
        <v>250119</v>
      </c>
      <c r="AL51" s="254">
        <v>0</v>
      </c>
      <c r="AM51" s="254">
        <v>0</v>
      </c>
      <c r="AN51" s="254">
        <v>0</v>
      </c>
      <c r="AO51" s="254">
        <v>0</v>
      </c>
      <c r="AP51" s="257">
        <v>0</v>
      </c>
      <c r="AQ51" s="253">
        <v>32</v>
      </c>
    </row>
    <row r="52" spans="1:43" s="349" customFormat="1" ht="20.25" customHeight="1">
      <c r="A52" s="809">
        <v>33</v>
      </c>
      <c r="B52" s="439" t="s">
        <v>129</v>
      </c>
      <c r="C52" s="412">
        <f t="shared" si="105"/>
        <v>4971451</v>
      </c>
      <c r="D52" s="254">
        <f t="shared" si="106"/>
        <v>4971331</v>
      </c>
      <c r="E52" s="254">
        <f t="shared" si="112"/>
        <v>3930503</v>
      </c>
      <c r="F52" s="254">
        <f t="shared" si="112"/>
        <v>1040828</v>
      </c>
      <c r="G52" s="254">
        <f t="shared" si="93"/>
        <v>3954769</v>
      </c>
      <c r="H52" s="254">
        <f t="shared" si="113"/>
        <v>3907356</v>
      </c>
      <c r="I52" s="412">
        <f t="shared" si="113"/>
        <v>47413</v>
      </c>
      <c r="J52" s="382">
        <f t="shared" si="95"/>
        <v>1016562</v>
      </c>
      <c r="K52" s="254">
        <f t="shared" si="114"/>
        <v>23147</v>
      </c>
      <c r="L52" s="254">
        <f t="shared" si="114"/>
        <v>993415</v>
      </c>
      <c r="M52" s="254">
        <f t="shared" si="114"/>
        <v>120</v>
      </c>
      <c r="N52" s="412">
        <f t="shared" si="97"/>
        <v>519880</v>
      </c>
      <c r="O52" s="254">
        <f t="shared" si="98"/>
        <v>519760</v>
      </c>
      <c r="P52" s="254">
        <f t="shared" si="115"/>
        <v>278787</v>
      </c>
      <c r="Q52" s="254">
        <f t="shared" si="115"/>
        <v>240973</v>
      </c>
      <c r="R52" s="254">
        <f t="shared" si="100"/>
        <v>298104</v>
      </c>
      <c r="S52" s="254">
        <v>255640</v>
      </c>
      <c r="T52" s="257">
        <v>42464</v>
      </c>
      <c r="U52" s="351">
        <v>33</v>
      </c>
      <c r="V52" s="809">
        <v>33</v>
      </c>
      <c r="W52" s="812" t="s">
        <v>129</v>
      </c>
      <c r="X52" s="412">
        <f t="shared" si="101"/>
        <v>221656</v>
      </c>
      <c r="Y52" s="254">
        <v>23147</v>
      </c>
      <c r="Z52" s="254">
        <v>198509</v>
      </c>
      <c r="AA52" s="257">
        <v>120</v>
      </c>
      <c r="AB52" s="412">
        <f t="shared" si="102"/>
        <v>4451571</v>
      </c>
      <c r="AC52" s="254">
        <f t="shared" si="103"/>
        <v>4451571</v>
      </c>
      <c r="AD52" s="254">
        <f t="shared" si="116"/>
        <v>3651716</v>
      </c>
      <c r="AE52" s="382">
        <f t="shared" si="116"/>
        <v>799855</v>
      </c>
      <c r="AF52" s="424">
        <f>+AG52+AH52</f>
        <v>3656665</v>
      </c>
      <c r="AG52" s="381">
        <v>3651716</v>
      </c>
      <c r="AH52" s="254">
        <v>4949</v>
      </c>
      <c r="AI52" s="254">
        <f>+AJ52+AK52</f>
        <v>794906</v>
      </c>
      <c r="AJ52" s="254">
        <v>0</v>
      </c>
      <c r="AK52" s="254">
        <v>794906</v>
      </c>
      <c r="AL52" s="254">
        <v>0</v>
      </c>
      <c r="AM52" s="254">
        <v>0</v>
      </c>
      <c r="AN52" s="254">
        <v>0</v>
      </c>
      <c r="AO52" s="254">
        <v>0</v>
      </c>
      <c r="AP52" s="257">
        <v>0</v>
      </c>
      <c r="AQ52" s="253">
        <v>33</v>
      </c>
    </row>
    <row r="53" spans="1:43" s="349" customFormat="1" ht="20.25" customHeight="1">
      <c r="A53" s="809">
        <v>34</v>
      </c>
      <c r="B53" s="439" t="s">
        <v>130</v>
      </c>
      <c r="C53" s="412">
        <f t="shared" si="105"/>
        <v>3024016</v>
      </c>
      <c r="D53" s="254">
        <f t="shared" si="106"/>
        <v>3024003</v>
      </c>
      <c r="E53" s="254">
        <f t="shared" si="112"/>
        <v>2352503</v>
      </c>
      <c r="F53" s="254">
        <f t="shared" si="112"/>
        <v>671500</v>
      </c>
      <c r="G53" s="254">
        <f t="shared" si="93"/>
        <v>2361291</v>
      </c>
      <c r="H53" s="254">
        <f t="shared" si="113"/>
        <v>2340500</v>
      </c>
      <c r="I53" s="412">
        <f t="shared" si="113"/>
        <v>20791</v>
      </c>
      <c r="J53" s="382">
        <f t="shared" si="95"/>
        <v>662712</v>
      </c>
      <c r="K53" s="254">
        <f t="shared" si="114"/>
        <v>12003</v>
      </c>
      <c r="L53" s="254">
        <f t="shared" si="114"/>
        <v>650709</v>
      </c>
      <c r="M53" s="254">
        <f t="shared" si="114"/>
        <v>13</v>
      </c>
      <c r="N53" s="412">
        <f t="shared" si="97"/>
        <v>479054</v>
      </c>
      <c r="O53" s="254">
        <f t="shared" si="98"/>
        <v>479041</v>
      </c>
      <c r="P53" s="254">
        <f t="shared" si="115"/>
        <v>213172</v>
      </c>
      <c r="Q53" s="254">
        <f t="shared" si="115"/>
        <v>265869</v>
      </c>
      <c r="R53" s="254">
        <f t="shared" si="100"/>
        <v>221304</v>
      </c>
      <c r="S53" s="254">
        <v>201248</v>
      </c>
      <c r="T53" s="257">
        <v>20056</v>
      </c>
      <c r="U53" s="351">
        <v>34</v>
      </c>
      <c r="V53" s="809">
        <v>34</v>
      </c>
      <c r="W53" s="812" t="s">
        <v>130</v>
      </c>
      <c r="X53" s="412">
        <f t="shared" si="101"/>
        <v>257737</v>
      </c>
      <c r="Y53" s="254">
        <v>11924</v>
      </c>
      <c r="Z53" s="254">
        <v>245813</v>
      </c>
      <c r="AA53" s="257">
        <v>13</v>
      </c>
      <c r="AB53" s="412">
        <f t="shared" si="102"/>
        <v>2544962</v>
      </c>
      <c r="AC53" s="254">
        <f t="shared" si="103"/>
        <v>2544962</v>
      </c>
      <c r="AD53" s="254">
        <f t="shared" si="116"/>
        <v>2139331</v>
      </c>
      <c r="AE53" s="382">
        <f t="shared" si="116"/>
        <v>405631</v>
      </c>
      <c r="AF53" s="424">
        <f>+AG53+AH53</f>
        <v>2139987</v>
      </c>
      <c r="AG53" s="381">
        <v>2139252</v>
      </c>
      <c r="AH53" s="254">
        <v>735</v>
      </c>
      <c r="AI53" s="254">
        <f>+AJ53+AK53</f>
        <v>404975</v>
      </c>
      <c r="AJ53" s="254">
        <v>79</v>
      </c>
      <c r="AK53" s="254">
        <v>404896</v>
      </c>
      <c r="AL53" s="254">
        <v>0</v>
      </c>
      <c r="AM53" s="254">
        <v>0</v>
      </c>
      <c r="AN53" s="254">
        <v>0</v>
      </c>
      <c r="AO53" s="254">
        <v>0</v>
      </c>
      <c r="AP53" s="257">
        <v>0</v>
      </c>
      <c r="AQ53" s="253">
        <v>34</v>
      </c>
    </row>
    <row r="54" spans="1:43" s="349" customFormat="1" ht="20.25" customHeight="1" thickBot="1">
      <c r="A54" s="811">
        <v>35</v>
      </c>
      <c r="B54" s="478" t="s">
        <v>131</v>
      </c>
      <c r="C54" s="413">
        <f t="shared" si="105"/>
        <v>1115102</v>
      </c>
      <c r="D54" s="266">
        <f t="shared" si="106"/>
        <v>1115057</v>
      </c>
      <c r="E54" s="266">
        <f t="shared" si="112"/>
        <v>969406</v>
      </c>
      <c r="F54" s="266">
        <f t="shared" si="112"/>
        <v>145651</v>
      </c>
      <c r="G54" s="266">
        <f t="shared" si="93"/>
        <v>975130</v>
      </c>
      <c r="H54" s="266">
        <f t="shared" si="113"/>
        <v>968095</v>
      </c>
      <c r="I54" s="413">
        <f t="shared" si="113"/>
        <v>7035</v>
      </c>
      <c r="J54" s="384">
        <f t="shared" si="95"/>
        <v>139927</v>
      </c>
      <c r="K54" s="266">
        <f t="shared" si="114"/>
        <v>1311</v>
      </c>
      <c r="L54" s="266">
        <f t="shared" si="114"/>
        <v>138616</v>
      </c>
      <c r="M54" s="266">
        <f t="shared" si="114"/>
        <v>45</v>
      </c>
      <c r="N54" s="413">
        <f t="shared" si="97"/>
        <v>102925</v>
      </c>
      <c r="O54" s="266">
        <f t="shared" si="98"/>
        <v>102880</v>
      </c>
      <c r="P54" s="266">
        <f t="shared" si="115"/>
        <v>87162</v>
      </c>
      <c r="Q54" s="266">
        <f t="shared" si="115"/>
        <v>15718</v>
      </c>
      <c r="R54" s="266">
        <f t="shared" si="100"/>
        <v>91612</v>
      </c>
      <c r="S54" s="266">
        <v>85851</v>
      </c>
      <c r="T54" s="385">
        <v>5761</v>
      </c>
      <c r="U54" s="259">
        <v>35</v>
      </c>
      <c r="V54" s="811">
        <v>35</v>
      </c>
      <c r="W54" s="482" t="s">
        <v>131</v>
      </c>
      <c r="X54" s="413">
        <f t="shared" si="101"/>
        <v>11268</v>
      </c>
      <c r="Y54" s="266">
        <v>1311</v>
      </c>
      <c r="Z54" s="266">
        <v>9957</v>
      </c>
      <c r="AA54" s="385">
        <v>45</v>
      </c>
      <c r="AB54" s="413">
        <f t="shared" si="102"/>
        <v>1012177</v>
      </c>
      <c r="AC54" s="266">
        <f t="shared" si="103"/>
        <v>1012177</v>
      </c>
      <c r="AD54" s="266">
        <f t="shared" si="116"/>
        <v>882244</v>
      </c>
      <c r="AE54" s="384">
        <f t="shared" si="116"/>
        <v>129933</v>
      </c>
      <c r="AF54" s="425">
        <f>+AG54+AH54</f>
        <v>883518</v>
      </c>
      <c r="AG54" s="383">
        <v>882244</v>
      </c>
      <c r="AH54" s="266">
        <v>1274</v>
      </c>
      <c r="AI54" s="266">
        <f>+AJ54+AK54</f>
        <v>128659</v>
      </c>
      <c r="AJ54" s="266">
        <v>0</v>
      </c>
      <c r="AK54" s="266">
        <v>128659</v>
      </c>
      <c r="AL54" s="266">
        <v>0</v>
      </c>
      <c r="AM54" s="266">
        <v>0</v>
      </c>
      <c r="AN54" s="266">
        <v>0</v>
      </c>
      <c r="AO54" s="266">
        <v>0</v>
      </c>
      <c r="AP54" s="385">
        <v>0</v>
      </c>
      <c r="AQ54" s="258">
        <v>35</v>
      </c>
    </row>
    <row r="55" spans="1:44" ht="14.25">
      <c r="A55" s="402"/>
      <c r="B55" s="402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U55" s="238"/>
      <c r="V55" s="402"/>
      <c r="W55" s="402"/>
      <c r="X55" s="349"/>
      <c r="AA55" s="349"/>
      <c r="AB55" s="349"/>
      <c r="AC55" s="349"/>
      <c r="AF55" s="349"/>
      <c r="AL55" s="349"/>
      <c r="AM55" s="349"/>
      <c r="AN55" s="349"/>
      <c r="AO55" s="349"/>
      <c r="AP55" s="349"/>
      <c r="AQ55" s="233"/>
      <c r="AR55" s="349"/>
    </row>
    <row r="56" spans="1:44" ht="14.25">
      <c r="A56" s="402"/>
      <c r="B56" s="402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U56" s="238"/>
      <c r="V56" s="402"/>
      <c r="W56" s="402"/>
      <c r="X56" s="349"/>
      <c r="AA56" s="349"/>
      <c r="AB56" s="349"/>
      <c r="AC56" s="349"/>
      <c r="AF56" s="349"/>
      <c r="AL56" s="349"/>
      <c r="AM56" s="349"/>
      <c r="AN56" s="349"/>
      <c r="AO56" s="349"/>
      <c r="AP56" s="349"/>
      <c r="AQ56" s="233"/>
      <c r="AR56" s="349"/>
    </row>
    <row r="57" spans="1:44" ht="14.25">
      <c r="A57" s="402"/>
      <c r="B57" s="402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U57" s="238"/>
      <c r="V57" s="402"/>
      <c r="W57" s="402"/>
      <c r="X57" s="349"/>
      <c r="AA57" s="349"/>
      <c r="AB57" s="349"/>
      <c r="AC57" s="349"/>
      <c r="AF57" s="349"/>
      <c r="AL57" s="349"/>
      <c r="AM57" s="349"/>
      <c r="AN57" s="349"/>
      <c r="AO57" s="349"/>
      <c r="AP57" s="349"/>
      <c r="AQ57" s="233"/>
      <c r="AR57" s="349"/>
    </row>
    <row r="58" spans="14:27" ht="14.25">
      <c r="N58" s="349"/>
      <c r="O58" s="349"/>
      <c r="P58" s="349"/>
      <c r="Q58" s="349"/>
      <c r="R58" s="349"/>
      <c r="X58" s="349"/>
      <c r="AA58" s="349"/>
    </row>
    <row r="59" spans="14:27" ht="14.25">
      <c r="N59" s="349"/>
      <c r="O59" s="349"/>
      <c r="P59" s="349"/>
      <c r="Q59" s="349"/>
      <c r="R59" s="349"/>
      <c r="X59" s="349"/>
      <c r="AA59" s="349"/>
    </row>
  </sheetData>
  <sheetProtection/>
  <mergeCells count="49">
    <mergeCell ref="AL4:AP4"/>
    <mergeCell ref="V6:W6"/>
    <mergeCell ref="V7:W7"/>
    <mergeCell ref="V9:W9"/>
    <mergeCell ref="AF4:AH4"/>
    <mergeCell ref="V3:W5"/>
    <mergeCell ref="A3:B5"/>
    <mergeCell ref="C4:C5"/>
    <mergeCell ref="G4:I4"/>
    <mergeCell ref="J4:L4"/>
    <mergeCell ref="AI4:AK4"/>
    <mergeCell ref="AB4:AB5"/>
    <mergeCell ref="X4:Z4"/>
    <mergeCell ref="A24:B24"/>
    <mergeCell ref="X3:AA3"/>
    <mergeCell ref="AA4:AA5"/>
    <mergeCell ref="AC4:AE4"/>
    <mergeCell ref="AB3:AP3"/>
    <mergeCell ref="C3:M3"/>
    <mergeCell ref="A7:B7"/>
    <mergeCell ref="A8:B8"/>
    <mergeCell ref="A9:B9"/>
    <mergeCell ref="D4:F4"/>
    <mergeCell ref="A25:B25"/>
    <mergeCell ref="N3:T3"/>
    <mergeCell ref="O4:Q4"/>
    <mergeCell ref="A10:B10"/>
    <mergeCell ref="A6:B6"/>
    <mergeCell ref="R4:T4"/>
    <mergeCell ref="M4:M5"/>
    <mergeCell ref="N4:N5"/>
    <mergeCell ref="A16:B16"/>
    <mergeCell ref="A17:B17"/>
    <mergeCell ref="V25:W25"/>
    <mergeCell ref="V17:W17"/>
    <mergeCell ref="V24:W24"/>
    <mergeCell ref="V8:W8"/>
    <mergeCell ref="V10:W10"/>
    <mergeCell ref="V16:W16"/>
    <mergeCell ref="V50:W50"/>
    <mergeCell ref="A50:B50"/>
    <mergeCell ref="A32:B32"/>
    <mergeCell ref="A42:B42"/>
    <mergeCell ref="A43:B43"/>
    <mergeCell ref="V42:W42"/>
    <mergeCell ref="V43:W43"/>
    <mergeCell ref="V46:W46"/>
    <mergeCell ref="A46:B46"/>
    <mergeCell ref="V32:W32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53" r:id="rId1"/>
  <colBreaks count="3" manualBreakCount="3">
    <brk id="10" max="53" man="1"/>
    <brk id="21" max="53" man="1"/>
    <brk id="31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V64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H55" sqref="H55"/>
      <selection pane="topRight" activeCell="H55" sqref="H55"/>
      <selection pane="bottomLeft" activeCell="H55" sqref="H55"/>
      <selection pane="bottomRight" activeCell="M53" sqref="M53"/>
    </sheetView>
  </sheetViews>
  <sheetFormatPr defaultColWidth="10.75390625" defaultRowHeight="18.75" customHeight="1"/>
  <cols>
    <col min="1" max="1" width="8.75390625" style="578" customWidth="1"/>
    <col min="2" max="2" width="7.75390625" style="578" customWidth="1"/>
    <col min="3" max="3" width="8.50390625" style="579" customWidth="1"/>
    <col min="4" max="4" width="11.75390625" style="579" customWidth="1"/>
    <col min="5" max="5" width="7.75390625" style="579" customWidth="1"/>
    <col min="6" max="6" width="10.75390625" style="579" customWidth="1"/>
    <col min="7" max="7" width="8.75390625" style="579" customWidth="1"/>
    <col min="8" max="10" width="10.75390625" style="579" customWidth="1"/>
    <col min="11" max="11" width="7.75390625" style="579" customWidth="1"/>
    <col min="12" max="12" width="10.75390625" style="579" customWidth="1"/>
    <col min="13" max="13" width="9.75390625" style="579" customWidth="1"/>
    <col min="14" max="14" width="11.75390625" style="579" customWidth="1"/>
    <col min="15" max="15" width="10.75390625" style="579" customWidth="1"/>
    <col min="16" max="16" width="8.75390625" style="579" customWidth="1"/>
    <col min="17" max="17" width="11.75390625" style="579" customWidth="1"/>
    <col min="18" max="19" width="9.75390625" style="579" customWidth="1"/>
    <col min="20" max="20" width="11.75390625" style="579" customWidth="1"/>
    <col min="21" max="21" width="10.75390625" style="579" customWidth="1"/>
    <col min="22" max="16384" width="10.75390625" style="581" customWidth="1"/>
  </cols>
  <sheetData>
    <row r="1" spans="1:21" s="576" customFormat="1" ht="18.75" customHeight="1">
      <c r="A1" s="572" t="s">
        <v>256</v>
      </c>
      <c r="B1" s="573"/>
      <c r="C1" s="574"/>
      <c r="D1" s="574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</row>
    <row r="2" spans="1:21" ht="18.75" customHeight="1" thickBot="1">
      <c r="A2" s="577"/>
      <c r="U2" s="580" t="s">
        <v>283</v>
      </c>
    </row>
    <row r="3" spans="1:22" s="578" customFormat="1" ht="18.75" customHeight="1">
      <c r="A3" s="582"/>
      <c r="B3" s="583"/>
      <c r="C3" s="1081" t="s">
        <v>257</v>
      </c>
      <c r="D3" s="1082"/>
      <c r="E3" s="1082"/>
      <c r="F3" s="1082"/>
      <c r="G3" s="1082"/>
      <c r="H3" s="1082"/>
      <c r="I3" s="1082"/>
      <c r="J3" s="1082"/>
      <c r="K3" s="1082"/>
      <c r="L3" s="1082"/>
      <c r="M3" s="1082"/>
      <c r="N3" s="1082"/>
      <c r="O3" s="1083"/>
      <c r="P3" s="1072" t="s">
        <v>171</v>
      </c>
      <c r="Q3" s="1073"/>
      <c r="R3" s="1084"/>
      <c r="S3" s="1072" t="s">
        <v>284</v>
      </c>
      <c r="T3" s="1073"/>
      <c r="U3" s="1074"/>
      <c r="V3" s="584"/>
    </row>
    <row r="4" spans="1:22" s="578" customFormat="1" ht="18.75" customHeight="1">
      <c r="A4" s="585" t="s">
        <v>285</v>
      </c>
      <c r="B4" s="586"/>
      <c r="C4" s="1078" t="s">
        <v>286</v>
      </c>
      <c r="D4" s="1079"/>
      <c r="E4" s="1078" t="s">
        <v>287</v>
      </c>
      <c r="F4" s="1079"/>
      <c r="G4" s="1078" t="s">
        <v>288</v>
      </c>
      <c r="H4" s="1079"/>
      <c r="I4" s="1078" t="s">
        <v>258</v>
      </c>
      <c r="J4" s="1079"/>
      <c r="K4" s="1078" t="s">
        <v>259</v>
      </c>
      <c r="L4" s="1079"/>
      <c r="M4" s="1080" t="s">
        <v>260</v>
      </c>
      <c r="N4" s="1080"/>
      <c r="O4" s="1079"/>
      <c r="P4" s="1075"/>
      <c r="Q4" s="1076"/>
      <c r="R4" s="1085"/>
      <c r="S4" s="1075"/>
      <c r="T4" s="1076"/>
      <c r="U4" s="1077"/>
      <c r="V4" s="584"/>
    </row>
    <row r="5" spans="1:22" s="578" customFormat="1" ht="18.75" customHeight="1">
      <c r="A5" s="587"/>
      <c r="B5" s="586"/>
      <c r="C5" s="588" t="s">
        <v>289</v>
      </c>
      <c r="D5" s="588" t="s">
        <v>290</v>
      </c>
      <c r="E5" s="588" t="s">
        <v>289</v>
      </c>
      <c r="F5" s="588" t="s">
        <v>290</v>
      </c>
      <c r="G5" s="588" t="s">
        <v>289</v>
      </c>
      <c r="H5" s="588" t="s">
        <v>290</v>
      </c>
      <c r="I5" s="588" t="s">
        <v>289</v>
      </c>
      <c r="J5" s="588" t="s">
        <v>290</v>
      </c>
      <c r="K5" s="588" t="s">
        <v>289</v>
      </c>
      <c r="L5" s="837" t="s">
        <v>290</v>
      </c>
      <c r="M5" s="846" t="s">
        <v>289</v>
      </c>
      <c r="N5" s="588" t="s">
        <v>290</v>
      </c>
      <c r="O5" s="588" t="s">
        <v>261</v>
      </c>
      <c r="P5" s="588" t="s">
        <v>289</v>
      </c>
      <c r="Q5" s="588" t="s">
        <v>290</v>
      </c>
      <c r="R5" s="588" t="s">
        <v>261</v>
      </c>
      <c r="S5" s="588" t="s">
        <v>289</v>
      </c>
      <c r="T5" s="588" t="s">
        <v>290</v>
      </c>
      <c r="U5" s="837" t="s">
        <v>261</v>
      </c>
      <c r="V5" s="584"/>
    </row>
    <row r="6" spans="1:22" ht="18.75" customHeight="1">
      <c r="A6" s="589"/>
      <c r="B6" s="588" t="s">
        <v>262</v>
      </c>
      <c r="C6" s="590">
        <v>57.83</v>
      </c>
      <c r="D6" s="590">
        <v>0</v>
      </c>
      <c r="E6" s="590">
        <v>160.2</v>
      </c>
      <c r="F6" s="590">
        <v>0</v>
      </c>
      <c r="G6" s="590">
        <v>1.1</v>
      </c>
      <c r="H6" s="590">
        <v>0</v>
      </c>
      <c r="I6" s="590">
        <v>1.14</v>
      </c>
      <c r="J6" s="590">
        <v>0</v>
      </c>
      <c r="K6" s="590">
        <v>2.57</v>
      </c>
      <c r="L6" s="855">
        <v>0</v>
      </c>
      <c r="M6" s="847">
        <f>+K6+I6+G6+E6+C6</f>
        <v>222.83999999999997</v>
      </c>
      <c r="N6" s="591">
        <f>+L6+J6+H6+F6+D6</f>
        <v>0</v>
      </c>
      <c r="O6" s="591">
        <v>0</v>
      </c>
      <c r="P6" s="592">
        <v>114.47</v>
      </c>
      <c r="Q6" s="592">
        <v>0</v>
      </c>
      <c r="R6" s="592">
        <v>0</v>
      </c>
      <c r="S6" s="593">
        <f aca="true" t="shared" si="0" ref="S6:S51">P6+M6</f>
        <v>337.30999999999995</v>
      </c>
      <c r="T6" s="593">
        <f aca="true" t="shared" si="1" ref="T6:T50">Q6+N6</f>
        <v>0</v>
      </c>
      <c r="U6" s="604">
        <f aca="true" t="shared" si="2" ref="U6:U51">R6+O6</f>
        <v>0</v>
      </c>
      <c r="V6" s="594"/>
    </row>
    <row r="7" spans="1:22" ht="18.75" customHeight="1">
      <c r="A7" s="585" t="s">
        <v>263</v>
      </c>
      <c r="B7" s="595" t="s">
        <v>264</v>
      </c>
      <c r="C7" s="596">
        <v>0</v>
      </c>
      <c r="D7" s="596">
        <v>0</v>
      </c>
      <c r="E7" s="596">
        <v>0</v>
      </c>
      <c r="F7" s="596">
        <v>0</v>
      </c>
      <c r="G7" s="596">
        <v>0</v>
      </c>
      <c r="H7" s="596">
        <v>0</v>
      </c>
      <c r="I7" s="596">
        <v>0</v>
      </c>
      <c r="J7" s="596">
        <v>0</v>
      </c>
      <c r="K7" s="596">
        <v>0</v>
      </c>
      <c r="L7" s="856">
        <v>0</v>
      </c>
      <c r="M7" s="848">
        <f>+K7+I7+G7+E7+C7</f>
        <v>0</v>
      </c>
      <c r="N7" s="597">
        <f>+L7+J7+H7+F7+D7</f>
        <v>0</v>
      </c>
      <c r="O7" s="597">
        <v>0</v>
      </c>
      <c r="P7" s="598">
        <v>435.81</v>
      </c>
      <c r="Q7" s="598">
        <v>22</v>
      </c>
      <c r="R7" s="598">
        <v>0</v>
      </c>
      <c r="S7" s="599">
        <f t="shared" si="0"/>
        <v>435.81</v>
      </c>
      <c r="T7" s="599">
        <f t="shared" si="1"/>
        <v>22</v>
      </c>
      <c r="U7" s="605">
        <f t="shared" si="2"/>
        <v>0</v>
      </c>
      <c r="V7" s="600"/>
    </row>
    <row r="8" spans="1:22" ht="18.75" customHeight="1">
      <c r="A8" s="587"/>
      <c r="B8" s="601" t="s">
        <v>260</v>
      </c>
      <c r="C8" s="602">
        <f aca="true" t="shared" si="3" ref="C8:R8">C7+C6</f>
        <v>57.83</v>
      </c>
      <c r="D8" s="602">
        <f t="shared" si="3"/>
        <v>0</v>
      </c>
      <c r="E8" s="602">
        <f t="shared" si="3"/>
        <v>160.2</v>
      </c>
      <c r="F8" s="602">
        <f t="shared" si="3"/>
        <v>0</v>
      </c>
      <c r="G8" s="602">
        <f t="shared" si="3"/>
        <v>1.1</v>
      </c>
      <c r="H8" s="602">
        <f t="shared" si="3"/>
        <v>0</v>
      </c>
      <c r="I8" s="602">
        <f t="shared" si="3"/>
        <v>1.14</v>
      </c>
      <c r="J8" s="602">
        <f t="shared" si="3"/>
        <v>0</v>
      </c>
      <c r="K8" s="602">
        <f t="shared" si="3"/>
        <v>2.57</v>
      </c>
      <c r="L8" s="838">
        <f t="shared" si="3"/>
        <v>0</v>
      </c>
      <c r="M8" s="849">
        <f t="shared" si="3"/>
        <v>222.83999999999997</v>
      </c>
      <c r="N8" s="602">
        <f t="shared" si="3"/>
        <v>0</v>
      </c>
      <c r="O8" s="602">
        <f t="shared" si="3"/>
        <v>0</v>
      </c>
      <c r="P8" s="602">
        <f t="shared" si="3"/>
        <v>550.28</v>
      </c>
      <c r="Q8" s="602">
        <f t="shared" si="3"/>
        <v>22</v>
      </c>
      <c r="R8" s="602">
        <f t="shared" si="3"/>
        <v>0</v>
      </c>
      <c r="S8" s="602">
        <f t="shared" si="0"/>
        <v>773.1199999999999</v>
      </c>
      <c r="T8" s="602">
        <f t="shared" si="1"/>
        <v>22</v>
      </c>
      <c r="U8" s="838">
        <f t="shared" si="2"/>
        <v>0</v>
      </c>
      <c r="V8" s="594"/>
    </row>
    <row r="9" spans="1:22" ht="18.75" customHeight="1">
      <c r="A9" s="589"/>
      <c r="B9" s="588" t="s">
        <v>262</v>
      </c>
      <c r="C9" s="590">
        <v>156.96</v>
      </c>
      <c r="D9" s="590">
        <v>93</v>
      </c>
      <c r="E9" s="590">
        <v>722.7</v>
      </c>
      <c r="F9" s="590">
        <v>0</v>
      </c>
      <c r="G9" s="590">
        <v>9.38</v>
      </c>
      <c r="H9" s="590">
        <v>0</v>
      </c>
      <c r="I9" s="590">
        <v>30.81</v>
      </c>
      <c r="J9" s="590">
        <v>0</v>
      </c>
      <c r="K9" s="590">
        <v>13.1</v>
      </c>
      <c r="L9" s="855">
        <v>0</v>
      </c>
      <c r="M9" s="847">
        <f>+K9+I9+G9+E9+C9</f>
        <v>932.95</v>
      </c>
      <c r="N9" s="591">
        <f>+L9+J9+H9+F9+D9</f>
        <v>93</v>
      </c>
      <c r="O9" s="591">
        <v>0</v>
      </c>
      <c r="P9" s="592">
        <v>213.06</v>
      </c>
      <c r="Q9" s="592">
        <v>7011</v>
      </c>
      <c r="R9" s="592">
        <v>1295</v>
      </c>
      <c r="S9" s="593">
        <f t="shared" si="0"/>
        <v>1146.01</v>
      </c>
      <c r="T9" s="593">
        <f t="shared" si="1"/>
        <v>7104</v>
      </c>
      <c r="U9" s="604">
        <f t="shared" si="2"/>
        <v>1295</v>
      </c>
      <c r="V9" s="594"/>
    </row>
    <row r="10" spans="1:22" ht="18.75" customHeight="1">
      <c r="A10" s="585" t="s">
        <v>265</v>
      </c>
      <c r="B10" s="595" t="s">
        <v>264</v>
      </c>
      <c r="C10" s="596">
        <v>0</v>
      </c>
      <c r="D10" s="596">
        <v>0</v>
      </c>
      <c r="E10" s="596"/>
      <c r="F10" s="596">
        <v>0</v>
      </c>
      <c r="G10" s="596">
        <v>0</v>
      </c>
      <c r="H10" s="596">
        <v>0</v>
      </c>
      <c r="I10" s="596">
        <v>0</v>
      </c>
      <c r="J10" s="596">
        <v>0</v>
      </c>
      <c r="K10" s="596">
        <v>0</v>
      </c>
      <c r="L10" s="856">
        <v>0</v>
      </c>
      <c r="M10" s="848">
        <f>+K10+I10+G10+E10+C10</f>
        <v>0</v>
      </c>
      <c r="N10" s="597">
        <f>+L10+J10+H10+F10+D10</f>
        <v>0</v>
      </c>
      <c r="O10" s="597">
        <v>0</v>
      </c>
      <c r="P10" s="598">
        <v>1120.61</v>
      </c>
      <c r="Q10" s="598">
        <v>16824</v>
      </c>
      <c r="R10" s="598">
        <v>3197</v>
      </c>
      <c r="S10" s="599">
        <f t="shared" si="0"/>
        <v>1120.61</v>
      </c>
      <c r="T10" s="599">
        <f t="shared" si="1"/>
        <v>16824</v>
      </c>
      <c r="U10" s="605">
        <f t="shared" si="2"/>
        <v>3197</v>
      </c>
      <c r="V10" s="600"/>
    </row>
    <row r="11" spans="1:22" ht="18.75" customHeight="1">
      <c r="A11" s="587"/>
      <c r="B11" s="595" t="s">
        <v>260</v>
      </c>
      <c r="C11" s="602">
        <f aca="true" t="shared" si="4" ref="C11:R11">C10+C9</f>
        <v>156.96</v>
      </c>
      <c r="D11" s="602">
        <f t="shared" si="4"/>
        <v>93</v>
      </c>
      <c r="E11" s="602">
        <f t="shared" si="4"/>
        <v>722.7</v>
      </c>
      <c r="F11" s="602">
        <f t="shared" si="4"/>
        <v>0</v>
      </c>
      <c r="G11" s="602">
        <f t="shared" si="4"/>
        <v>9.38</v>
      </c>
      <c r="H11" s="602">
        <f t="shared" si="4"/>
        <v>0</v>
      </c>
      <c r="I11" s="602">
        <f t="shared" si="4"/>
        <v>30.81</v>
      </c>
      <c r="J11" s="602">
        <f t="shared" si="4"/>
        <v>0</v>
      </c>
      <c r="K11" s="602">
        <f t="shared" si="4"/>
        <v>13.1</v>
      </c>
      <c r="L11" s="838">
        <f t="shared" si="4"/>
        <v>0</v>
      </c>
      <c r="M11" s="849">
        <f t="shared" si="4"/>
        <v>932.95</v>
      </c>
      <c r="N11" s="602">
        <f t="shared" si="4"/>
        <v>93</v>
      </c>
      <c r="O11" s="602">
        <f t="shared" si="4"/>
        <v>0</v>
      </c>
      <c r="P11" s="602">
        <f t="shared" si="4"/>
        <v>1333.6699999999998</v>
      </c>
      <c r="Q11" s="602">
        <f t="shared" si="4"/>
        <v>23835</v>
      </c>
      <c r="R11" s="602">
        <f t="shared" si="4"/>
        <v>4492</v>
      </c>
      <c r="S11" s="602">
        <f t="shared" si="0"/>
        <v>2266.62</v>
      </c>
      <c r="T11" s="602">
        <f t="shared" si="1"/>
        <v>23928</v>
      </c>
      <c r="U11" s="838">
        <f t="shared" si="2"/>
        <v>4492</v>
      </c>
      <c r="V11" s="594"/>
    </row>
    <row r="12" spans="1:22" ht="18.75" customHeight="1">
      <c r="A12" s="589"/>
      <c r="B12" s="588" t="s">
        <v>262</v>
      </c>
      <c r="C12" s="590">
        <v>328.32</v>
      </c>
      <c r="D12" s="590">
        <v>23045</v>
      </c>
      <c r="E12" s="590">
        <v>1241.81</v>
      </c>
      <c r="F12" s="590">
        <v>46131</v>
      </c>
      <c r="G12" s="590">
        <v>15.08</v>
      </c>
      <c r="H12" s="590">
        <v>939</v>
      </c>
      <c r="I12" s="590">
        <v>63.72</v>
      </c>
      <c r="J12" s="590">
        <v>2947</v>
      </c>
      <c r="K12" s="590">
        <v>22.73</v>
      </c>
      <c r="L12" s="855">
        <v>1092</v>
      </c>
      <c r="M12" s="847">
        <f>+K12+I12+G12+E12+C12</f>
        <v>1671.6599999999999</v>
      </c>
      <c r="N12" s="591">
        <f>+L12+J12+H12+F12+D12</f>
        <v>74154</v>
      </c>
      <c r="O12" s="591">
        <v>10674</v>
      </c>
      <c r="P12" s="592">
        <v>267.88</v>
      </c>
      <c r="Q12" s="592">
        <v>15851</v>
      </c>
      <c r="R12" s="592">
        <v>1284</v>
      </c>
      <c r="S12" s="593">
        <f t="shared" si="0"/>
        <v>1939.54</v>
      </c>
      <c r="T12" s="593">
        <f t="shared" si="1"/>
        <v>90005</v>
      </c>
      <c r="U12" s="604">
        <f t="shared" si="2"/>
        <v>11958</v>
      </c>
      <c r="V12" s="594"/>
    </row>
    <row r="13" spans="1:22" ht="18.75" customHeight="1">
      <c r="A13" s="585" t="s">
        <v>266</v>
      </c>
      <c r="B13" s="595" t="s">
        <v>264</v>
      </c>
      <c r="C13" s="596">
        <v>0</v>
      </c>
      <c r="D13" s="596">
        <v>0</v>
      </c>
      <c r="E13" s="596"/>
      <c r="F13" s="596">
        <v>0</v>
      </c>
      <c r="G13" s="596">
        <v>0.73</v>
      </c>
      <c r="H13" s="596">
        <v>30</v>
      </c>
      <c r="I13" s="596">
        <v>0</v>
      </c>
      <c r="J13" s="596">
        <v>0</v>
      </c>
      <c r="K13" s="596">
        <v>0</v>
      </c>
      <c r="L13" s="856">
        <v>0</v>
      </c>
      <c r="M13" s="848">
        <f>+K13+I13+G13+E13+C13</f>
        <v>0.73</v>
      </c>
      <c r="N13" s="597">
        <f>+L13+J13+H13+F13+D13</f>
        <v>30</v>
      </c>
      <c r="O13" s="597">
        <v>4</v>
      </c>
      <c r="P13" s="598">
        <v>2025.49</v>
      </c>
      <c r="Q13" s="598">
        <v>68124</v>
      </c>
      <c r="R13" s="598">
        <v>7885</v>
      </c>
      <c r="S13" s="599">
        <f t="shared" si="0"/>
        <v>2026.22</v>
      </c>
      <c r="T13" s="599">
        <f t="shared" si="1"/>
        <v>68154</v>
      </c>
      <c r="U13" s="605">
        <f t="shared" si="2"/>
        <v>7889</v>
      </c>
      <c r="V13" s="600"/>
    </row>
    <row r="14" spans="1:22" ht="18.75" customHeight="1">
      <c r="A14" s="587"/>
      <c r="B14" s="595" t="s">
        <v>260</v>
      </c>
      <c r="C14" s="602">
        <f aca="true" t="shared" si="5" ref="C14:R14">C13+C12</f>
        <v>328.32</v>
      </c>
      <c r="D14" s="602">
        <f t="shared" si="5"/>
        <v>23045</v>
      </c>
      <c r="E14" s="602">
        <f t="shared" si="5"/>
        <v>1241.81</v>
      </c>
      <c r="F14" s="602">
        <f t="shared" si="5"/>
        <v>46131</v>
      </c>
      <c r="G14" s="602">
        <f t="shared" si="5"/>
        <v>15.81</v>
      </c>
      <c r="H14" s="602">
        <f t="shared" si="5"/>
        <v>969</v>
      </c>
      <c r="I14" s="602">
        <f t="shared" si="5"/>
        <v>63.72</v>
      </c>
      <c r="J14" s="602">
        <f t="shared" si="5"/>
        <v>2947</v>
      </c>
      <c r="K14" s="602">
        <f t="shared" si="5"/>
        <v>22.73</v>
      </c>
      <c r="L14" s="838">
        <f t="shared" si="5"/>
        <v>1092</v>
      </c>
      <c r="M14" s="849">
        <f t="shared" si="5"/>
        <v>1672.3899999999999</v>
      </c>
      <c r="N14" s="602">
        <f t="shared" si="5"/>
        <v>74184</v>
      </c>
      <c r="O14" s="602">
        <f t="shared" si="5"/>
        <v>10678</v>
      </c>
      <c r="P14" s="602">
        <f t="shared" si="5"/>
        <v>2293.37</v>
      </c>
      <c r="Q14" s="602">
        <f t="shared" si="5"/>
        <v>83975</v>
      </c>
      <c r="R14" s="602">
        <f t="shared" si="5"/>
        <v>9169</v>
      </c>
      <c r="S14" s="602">
        <f t="shared" si="0"/>
        <v>3965.7599999999998</v>
      </c>
      <c r="T14" s="602">
        <f t="shared" si="1"/>
        <v>158159</v>
      </c>
      <c r="U14" s="838">
        <f t="shared" si="2"/>
        <v>19847</v>
      </c>
      <c r="V14" s="594"/>
    </row>
    <row r="15" spans="1:22" ht="18.75" customHeight="1">
      <c r="A15" s="589"/>
      <c r="B15" s="588" t="s">
        <v>262</v>
      </c>
      <c r="C15" s="590">
        <v>395.84</v>
      </c>
      <c r="D15" s="590">
        <v>58907</v>
      </c>
      <c r="E15" s="590">
        <v>1927.1</v>
      </c>
      <c r="F15" s="590">
        <v>139726</v>
      </c>
      <c r="G15" s="590">
        <v>14</v>
      </c>
      <c r="H15" s="590">
        <v>1285</v>
      </c>
      <c r="I15" s="590">
        <v>287.75</v>
      </c>
      <c r="J15" s="590">
        <v>28696</v>
      </c>
      <c r="K15" s="590">
        <v>45.26</v>
      </c>
      <c r="L15" s="855">
        <v>4168</v>
      </c>
      <c r="M15" s="847">
        <f>+K15+I15+G15+E15+C15</f>
        <v>2669.95</v>
      </c>
      <c r="N15" s="591">
        <f>+L15+J15+H15+F15+D15</f>
        <v>232782</v>
      </c>
      <c r="O15" s="591">
        <v>23768</v>
      </c>
      <c r="P15" s="592">
        <v>231.18</v>
      </c>
      <c r="Q15" s="592">
        <v>19525</v>
      </c>
      <c r="R15" s="592">
        <v>884</v>
      </c>
      <c r="S15" s="593">
        <f t="shared" si="0"/>
        <v>2901.1299999999997</v>
      </c>
      <c r="T15" s="593">
        <f t="shared" si="1"/>
        <v>252307</v>
      </c>
      <c r="U15" s="604">
        <f t="shared" si="2"/>
        <v>24652</v>
      </c>
      <c r="V15" s="594"/>
    </row>
    <row r="16" spans="1:22" ht="18.75" customHeight="1">
      <c r="A16" s="585" t="s">
        <v>267</v>
      </c>
      <c r="B16" s="595" t="s">
        <v>264</v>
      </c>
      <c r="C16" s="596">
        <v>0</v>
      </c>
      <c r="D16" s="596">
        <v>0</v>
      </c>
      <c r="E16" s="596">
        <v>0</v>
      </c>
      <c r="F16" s="596">
        <v>0</v>
      </c>
      <c r="G16" s="596">
        <v>0.06</v>
      </c>
      <c r="H16" s="596">
        <v>7</v>
      </c>
      <c r="I16" s="596"/>
      <c r="J16" s="596"/>
      <c r="K16" s="596">
        <v>9.7</v>
      </c>
      <c r="L16" s="856">
        <v>122</v>
      </c>
      <c r="M16" s="848">
        <f>+K16+I16+G16+E16+C16</f>
        <v>9.76</v>
      </c>
      <c r="N16" s="597">
        <f>+L16+J16+H16+F16+D16</f>
        <v>129</v>
      </c>
      <c r="O16" s="597">
        <v>13</v>
      </c>
      <c r="P16" s="598">
        <v>2459.63</v>
      </c>
      <c r="Q16" s="598">
        <v>144161</v>
      </c>
      <c r="R16" s="598">
        <v>10637</v>
      </c>
      <c r="S16" s="599">
        <f t="shared" si="0"/>
        <v>2469.3900000000003</v>
      </c>
      <c r="T16" s="599">
        <f t="shared" si="1"/>
        <v>144290</v>
      </c>
      <c r="U16" s="605">
        <f t="shared" si="2"/>
        <v>10650</v>
      </c>
      <c r="V16" s="600"/>
    </row>
    <row r="17" spans="1:22" ht="18.75" customHeight="1">
      <c r="A17" s="587"/>
      <c r="B17" s="595" t="s">
        <v>260</v>
      </c>
      <c r="C17" s="602">
        <f aca="true" t="shared" si="6" ref="C17:R17">C16+C15</f>
        <v>395.84</v>
      </c>
      <c r="D17" s="602">
        <f t="shared" si="6"/>
        <v>58907</v>
      </c>
      <c r="E17" s="602">
        <f t="shared" si="6"/>
        <v>1927.1</v>
      </c>
      <c r="F17" s="602">
        <f t="shared" si="6"/>
        <v>139726</v>
      </c>
      <c r="G17" s="602">
        <f t="shared" si="6"/>
        <v>14.06</v>
      </c>
      <c r="H17" s="602">
        <f t="shared" si="6"/>
        <v>1292</v>
      </c>
      <c r="I17" s="602">
        <f t="shared" si="6"/>
        <v>287.75</v>
      </c>
      <c r="J17" s="602">
        <f t="shared" si="6"/>
        <v>28696</v>
      </c>
      <c r="K17" s="602">
        <f t="shared" si="6"/>
        <v>54.959999999999994</v>
      </c>
      <c r="L17" s="838">
        <f t="shared" si="6"/>
        <v>4290</v>
      </c>
      <c r="M17" s="849">
        <f t="shared" si="6"/>
        <v>2679.71</v>
      </c>
      <c r="N17" s="602">
        <f t="shared" si="6"/>
        <v>232911</v>
      </c>
      <c r="O17" s="602">
        <f t="shared" si="6"/>
        <v>23781</v>
      </c>
      <c r="P17" s="602">
        <f t="shared" si="6"/>
        <v>2690.81</v>
      </c>
      <c r="Q17" s="602">
        <f t="shared" si="6"/>
        <v>163686</v>
      </c>
      <c r="R17" s="602">
        <f t="shared" si="6"/>
        <v>11521</v>
      </c>
      <c r="S17" s="602">
        <f t="shared" si="0"/>
        <v>5370.52</v>
      </c>
      <c r="T17" s="602">
        <f t="shared" si="1"/>
        <v>396597</v>
      </c>
      <c r="U17" s="838">
        <f t="shared" si="2"/>
        <v>35302</v>
      </c>
      <c r="V17" s="594"/>
    </row>
    <row r="18" spans="1:22" ht="18.75" customHeight="1">
      <c r="A18" s="589"/>
      <c r="B18" s="588" t="s">
        <v>262</v>
      </c>
      <c r="C18" s="590">
        <v>666.93</v>
      </c>
      <c r="D18" s="590">
        <v>151086</v>
      </c>
      <c r="E18" s="590">
        <v>2044.37</v>
      </c>
      <c r="F18" s="590">
        <v>231616</v>
      </c>
      <c r="G18" s="590">
        <v>39.47</v>
      </c>
      <c r="H18" s="590">
        <v>6133</v>
      </c>
      <c r="I18" s="590">
        <v>571.19</v>
      </c>
      <c r="J18" s="590">
        <v>86726</v>
      </c>
      <c r="K18" s="590">
        <v>113.74</v>
      </c>
      <c r="L18" s="855">
        <v>16162</v>
      </c>
      <c r="M18" s="847">
        <f>+K18+I18+G18+E18+C18</f>
        <v>3435.7</v>
      </c>
      <c r="N18" s="591">
        <f>+L18+J18+H18+F18+D18</f>
        <v>491723</v>
      </c>
      <c r="O18" s="591">
        <v>37116</v>
      </c>
      <c r="P18" s="592">
        <v>110.35</v>
      </c>
      <c r="Q18" s="592">
        <v>9732</v>
      </c>
      <c r="R18" s="592">
        <v>332</v>
      </c>
      <c r="S18" s="593">
        <f t="shared" si="0"/>
        <v>3546.0499999999997</v>
      </c>
      <c r="T18" s="593">
        <f t="shared" si="1"/>
        <v>501455</v>
      </c>
      <c r="U18" s="604">
        <f t="shared" si="2"/>
        <v>37448</v>
      </c>
      <c r="V18" s="594"/>
    </row>
    <row r="19" spans="1:22" ht="18.75" customHeight="1">
      <c r="A19" s="585" t="s">
        <v>268</v>
      </c>
      <c r="B19" s="595" t="s">
        <v>264</v>
      </c>
      <c r="C19" s="596">
        <v>0</v>
      </c>
      <c r="D19" s="596">
        <v>0</v>
      </c>
      <c r="E19" s="596">
        <v>0</v>
      </c>
      <c r="F19" s="596">
        <v>0</v>
      </c>
      <c r="G19" s="596">
        <v>0.44</v>
      </c>
      <c r="H19" s="596">
        <v>54</v>
      </c>
      <c r="I19" s="596"/>
      <c r="J19" s="596"/>
      <c r="K19" s="596">
        <v>23.57</v>
      </c>
      <c r="L19" s="856">
        <v>417</v>
      </c>
      <c r="M19" s="848">
        <f>+K19+I19+G19+E19+C19</f>
        <v>24.01</v>
      </c>
      <c r="N19" s="597">
        <f>+L19+J19+H19+F19+D19</f>
        <v>471</v>
      </c>
      <c r="O19" s="597">
        <v>37</v>
      </c>
      <c r="P19" s="598">
        <v>3338.28</v>
      </c>
      <c r="Q19" s="598">
        <v>261634</v>
      </c>
      <c r="R19" s="598">
        <v>11002</v>
      </c>
      <c r="S19" s="599">
        <f t="shared" si="0"/>
        <v>3362.2900000000004</v>
      </c>
      <c r="T19" s="599">
        <f t="shared" si="1"/>
        <v>262105</v>
      </c>
      <c r="U19" s="605">
        <f t="shared" si="2"/>
        <v>11039</v>
      </c>
      <c r="V19" s="600"/>
    </row>
    <row r="20" spans="1:22" ht="18.75" customHeight="1">
      <c r="A20" s="603"/>
      <c r="B20" s="601" t="s">
        <v>260</v>
      </c>
      <c r="C20" s="602">
        <f aca="true" t="shared" si="7" ref="C20:R20">C19+C18</f>
        <v>666.93</v>
      </c>
      <c r="D20" s="602">
        <f t="shared" si="7"/>
        <v>151086</v>
      </c>
      <c r="E20" s="602">
        <f t="shared" si="7"/>
        <v>2044.37</v>
      </c>
      <c r="F20" s="602">
        <f t="shared" si="7"/>
        <v>231616</v>
      </c>
      <c r="G20" s="602">
        <f t="shared" si="7"/>
        <v>39.91</v>
      </c>
      <c r="H20" s="602">
        <f t="shared" si="7"/>
        <v>6187</v>
      </c>
      <c r="I20" s="602">
        <f t="shared" si="7"/>
        <v>571.19</v>
      </c>
      <c r="J20" s="602">
        <f t="shared" si="7"/>
        <v>86726</v>
      </c>
      <c r="K20" s="602">
        <f t="shared" si="7"/>
        <v>137.31</v>
      </c>
      <c r="L20" s="838">
        <f t="shared" si="7"/>
        <v>16579</v>
      </c>
      <c r="M20" s="849">
        <f t="shared" si="7"/>
        <v>3459.71</v>
      </c>
      <c r="N20" s="602">
        <f t="shared" si="7"/>
        <v>492194</v>
      </c>
      <c r="O20" s="602">
        <f t="shared" si="7"/>
        <v>37153</v>
      </c>
      <c r="P20" s="602">
        <f t="shared" si="7"/>
        <v>3448.63</v>
      </c>
      <c r="Q20" s="602">
        <f t="shared" si="7"/>
        <v>271366</v>
      </c>
      <c r="R20" s="602">
        <f t="shared" si="7"/>
        <v>11334</v>
      </c>
      <c r="S20" s="602">
        <f t="shared" si="0"/>
        <v>6908.34</v>
      </c>
      <c r="T20" s="602">
        <f t="shared" si="1"/>
        <v>763560</v>
      </c>
      <c r="U20" s="838">
        <f t="shared" si="2"/>
        <v>48487</v>
      </c>
      <c r="V20" s="594"/>
    </row>
    <row r="21" spans="1:22" ht="18.75" customHeight="1">
      <c r="A21" s="589"/>
      <c r="B21" s="588" t="s">
        <v>262</v>
      </c>
      <c r="C21" s="590">
        <v>1368.56</v>
      </c>
      <c r="D21" s="590">
        <v>405155</v>
      </c>
      <c r="E21" s="590">
        <v>2235.79</v>
      </c>
      <c r="F21" s="590">
        <v>362292</v>
      </c>
      <c r="G21" s="590">
        <v>131.22</v>
      </c>
      <c r="H21" s="590">
        <v>26124</v>
      </c>
      <c r="I21" s="590">
        <v>805.72</v>
      </c>
      <c r="J21" s="590">
        <v>158432</v>
      </c>
      <c r="K21" s="590">
        <v>29.12</v>
      </c>
      <c r="L21" s="855">
        <v>5644</v>
      </c>
      <c r="M21" s="847">
        <f>+K21+I21+G21+E21+C21</f>
        <v>4570.41</v>
      </c>
      <c r="N21" s="591">
        <f>+L21+J21+H21+F21+D21</f>
        <v>957647</v>
      </c>
      <c r="O21" s="591">
        <v>50329</v>
      </c>
      <c r="P21" s="592">
        <v>32.26</v>
      </c>
      <c r="Q21" s="592">
        <v>3267</v>
      </c>
      <c r="R21" s="592">
        <v>87</v>
      </c>
      <c r="S21" s="593">
        <f t="shared" si="0"/>
        <v>4602.67</v>
      </c>
      <c r="T21" s="593">
        <f t="shared" si="1"/>
        <v>960914</v>
      </c>
      <c r="U21" s="604">
        <f t="shared" si="2"/>
        <v>50416</v>
      </c>
      <c r="V21" s="594"/>
    </row>
    <row r="22" spans="1:22" ht="18.75" customHeight="1">
      <c r="A22" s="585" t="s">
        <v>269</v>
      </c>
      <c r="B22" s="595" t="s">
        <v>264</v>
      </c>
      <c r="C22" s="596">
        <v>0.21</v>
      </c>
      <c r="D22" s="596">
        <v>70</v>
      </c>
      <c r="E22" s="596">
        <v>0</v>
      </c>
      <c r="F22" s="596">
        <v>0</v>
      </c>
      <c r="G22" s="596">
        <v>0.33</v>
      </c>
      <c r="H22" s="596">
        <v>68</v>
      </c>
      <c r="I22" s="596">
        <v>0</v>
      </c>
      <c r="J22" s="596">
        <v>0</v>
      </c>
      <c r="K22" s="596">
        <v>66.66999999999999</v>
      </c>
      <c r="L22" s="856">
        <v>1961</v>
      </c>
      <c r="M22" s="848">
        <f>+K22+I22+G22+E22+C22</f>
        <v>67.20999999999998</v>
      </c>
      <c r="N22" s="597">
        <f>+L22+J22+H22+F22+D22</f>
        <v>2099</v>
      </c>
      <c r="O22" s="597">
        <v>129</v>
      </c>
      <c r="P22" s="598">
        <v>3374.24</v>
      </c>
      <c r="Q22" s="598">
        <v>317248</v>
      </c>
      <c r="R22" s="598">
        <v>9170</v>
      </c>
      <c r="S22" s="599">
        <f t="shared" si="0"/>
        <v>3441.45</v>
      </c>
      <c r="T22" s="599">
        <f t="shared" si="1"/>
        <v>319347</v>
      </c>
      <c r="U22" s="605">
        <f t="shared" si="2"/>
        <v>9299</v>
      </c>
      <c r="V22" s="600"/>
    </row>
    <row r="23" spans="1:22" ht="18.75" customHeight="1">
      <c r="A23" s="603"/>
      <c r="B23" s="601" t="s">
        <v>260</v>
      </c>
      <c r="C23" s="602">
        <f aca="true" t="shared" si="8" ref="C23:R23">C22+C21</f>
        <v>1368.77</v>
      </c>
      <c r="D23" s="602">
        <f t="shared" si="8"/>
        <v>405225</v>
      </c>
      <c r="E23" s="602">
        <f t="shared" si="8"/>
        <v>2235.79</v>
      </c>
      <c r="F23" s="602">
        <f t="shared" si="8"/>
        <v>362292</v>
      </c>
      <c r="G23" s="602">
        <f t="shared" si="8"/>
        <v>131.55</v>
      </c>
      <c r="H23" s="602">
        <f t="shared" si="8"/>
        <v>26192</v>
      </c>
      <c r="I23" s="602">
        <f t="shared" si="8"/>
        <v>805.72</v>
      </c>
      <c r="J23" s="602">
        <f t="shared" si="8"/>
        <v>158432</v>
      </c>
      <c r="K23" s="602">
        <f t="shared" si="8"/>
        <v>95.78999999999999</v>
      </c>
      <c r="L23" s="838">
        <f t="shared" si="8"/>
        <v>7605</v>
      </c>
      <c r="M23" s="849">
        <f t="shared" si="8"/>
        <v>4637.62</v>
      </c>
      <c r="N23" s="602">
        <f t="shared" si="8"/>
        <v>959746</v>
      </c>
      <c r="O23" s="602">
        <f t="shared" si="8"/>
        <v>50458</v>
      </c>
      <c r="P23" s="602">
        <f t="shared" si="8"/>
        <v>3406.5</v>
      </c>
      <c r="Q23" s="602">
        <f t="shared" si="8"/>
        <v>320515</v>
      </c>
      <c r="R23" s="602">
        <f t="shared" si="8"/>
        <v>9257</v>
      </c>
      <c r="S23" s="602">
        <f t="shared" si="0"/>
        <v>8044.12</v>
      </c>
      <c r="T23" s="602">
        <f t="shared" si="1"/>
        <v>1280261</v>
      </c>
      <c r="U23" s="838">
        <f t="shared" si="2"/>
        <v>59715</v>
      </c>
      <c r="V23" s="594"/>
    </row>
    <row r="24" spans="1:22" ht="18.75" customHeight="1">
      <c r="A24" s="589"/>
      <c r="B24" s="588" t="s">
        <v>262</v>
      </c>
      <c r="C24" s="590">
        <v>3098.7</v>
      </c>
      <c r="D24" s="590">
        <v>1138375</v>
      </c>
      <c r="E24" s="590">
        <v>2100.31</v>
      </c>
      <c r="F24" s="590">
        <v>450249</v>
      </c>
      <c r="G24" s="590">
        <v>460.38</v>
      </c>
      <c r="H24" s="590">
        <v>111873</v>
      </c>
      <c r="I24" s="590">
        <v>898.17</v>
      </c>
      <c r="J24" s="590">
        <v>214468</v>
      </c>
      <c r="K24" s="590">
        <v>54.69</v>
      </c>
      <c r="L24" s="855">
        <v>13152</v>
      </c>
      <c r="M24" s="847">
        <f>+K24+I24+G24+E24+C24</f>
        <v>6612.25</v>
      </c>
      <c r="N24" s="591">
        <f>+L24+J24+H24+F24+D24</f>
        <v>1928117</v>
      </c>
      <c r="O24" s="591">
        <v>69256</v>
      </c>
      <c r="P24" s="592">
        <v>16.72</v>
      </c>
      <c r="Q24" s="592">
        <v>2105</v>
      </c>
      <c r="R24" s="592">
        <v>27</v>
      </c>
      <c r="S24" s="593">
        <f t="shared" si="0"/>
        <v>6628.97</v>
      </c>
      <c r="T24" s="593">
        <f t="shared" si="1"/>
        <v>1930222</v>
      </c>
      <c r="U24" s="604">
        <f t="shared" si="2"/>
        <v>69283</v>
      </c>
      <c r="V24" s="594"/>
    </row>
    <row r="25" spans="1:22" ht="18.75" customHeight="1">
      <c r="A25" s="585" t="s">
        <v>270</v>
      </c>
      <c r="B25" s="595" t="s">
        <v>264</v>
      </c>
      <c r="C25" s="596">
        <v>0</v>
      </c>
      <c r="D25" s="596">
        <v>0</v>
      </c>
      <c r="E25" s="596">
        <v>0</v>
      </c>
      <c r="F25" s="596">
        <v>0</v>
      </c>
      <c r="G25" s="596">
        <v>0.72</v>
      </c>
      <c r="H25" s="596">
        <v>179</v>
      </c>
      <c r="I25" s="596">
        <v>0</v>
      </c>
      <c r="J25" s="596">
        <v>0</v>
      </c>
      <c r="K25" s="596">
        <v>45.71</v>
      </c>
      <c r="L25" s="856">
        <v>1806</v>
      </c>
      <c r="M25" s="848">
        <f>+K25+I25+G25+E25+C25</f>
        <v>46.43</v>
      </c>
      <c r="N25" s="597">
        <f>+L25+J25+H25+F25+D25</f>
        <v>1985</v>
      </c>
      <c r="O25" s="597">
        <v>100</v>
      </c>
      <c r="P25" s="598">
        <v>4824.39</v>
      </c>
      <c r="Q25" s="598">
        <v>518879</v>
      </c>
      <c r="R25" s="598">
        <v>10660</v>
      </c>
      <c r="S25" s="599">
        <f t="shared" si="0"/>
        <v>4870.820000000001</v>
      </c>
      <c r="T25" s="599">
        <f t="shared" si="1"/>
        <v>520864</v>
      </c>
      <c r="U25" s="605">
        <f t="shared" si="2"/>
        <v>10760</v>
      </c>
      <c r="V25" s="600"/>
    </row>
    <row r="26" spans="1:22" ht="18.75" customHeight="1">
      <c r="A26" s="587"/>
      <c r="B26" s="595" t="s">
        <v>260</v>
      </c>
      <c r="C26" s="602">
        <f aca="true" t="shared" si="9" ref="C26:R26">C25+C24</f>
        <v>3098.7</v>
      </c>
      <c r="D26" s="602">
        <f t="shared" si="9"/>
        <v>1138375</v>
      </c>
      <c r="E26" s="602">
        <f t="shared" si="9"/>
        <v>2100.31</v>
      </c>
      <c r="F26" s="602">
        <f t="shared" si="9"/>
        <v>450249</v>
      </c>
      <c r="G26" s="602">
        <f t="shared" si="9"/>
        <v>461.1</v>
      </c>
      <c r="H26" s="602">
        <f t="shared" si="9"/>
        <v>112052</v>
      </c>
      <c r="I26" s="602">
        <f t="shared" si="9"/>
        <v>898.17</v>
      </c>
      <c r="J26" s="602">
        <f t="shared" si="9"/>
        <v>214468</v>
      </c>
      <c r="K26" s="602">
        <f t="shared" si="9"/>
        <v>100.4</v>
      </c>
      <c r="L26" s="838">
        <f t="shared" si="9"/>
        <v>14958</v>
      </c>
      <c r="M26" s="849">
        <f t="shared" si="9"/>
        <v>6658.68</v>
      </c>
      <c r="N26" s="602">
        <f t="shared" si="9"/>
        <v>1930102</v>
      </c>
      <c r="O26" s="602">
        <f t="shared" si="9"/>
        <v>69356</v>
      </c>
      <c r="P26" s="602">
        <f t="shared" si="9"/>
        <v>4841.110000000001</v>
      </c>
      <c r="Q26" s="602">
        <f t="shared" si="9"/>
        <v>520984</v>
      </c>
      <c r="R26" s="602">
        <f t="shared" si="9"/>
        <v>10687</v>
      </c>
      <c r="S26" s="602">
        <f t="shared" si="0"/>
        <v>11499.79</v>
      </c>
      <c r="T26" s="602">
        <f t="shared" si="1"/>
        <v>2451086</v>
      </c>
      <c r="U26" s="838">
        <f t="shared" si="2"/>
        <v>80043</v>
      </c>
      <c r="V26" s="594"/>
    </row>
    <row r="27" spans="1:22" ht="18.75" customHeight="1">
      <c r="A27" s="589"/>
      <c r="B27" s="588" t="s">
        <v>262</v>
      </c>
      <c r="C27" s="590">
        <v>5869.67</v>
      </c>
      <c r="D27" s="590">
        <v>2517580</v>
      </c>
      <c r="E27" s="590">
        <v>1830.57</v>
      </c>
      <c r="F27" s="590">
        <v>474540</v>
      </c>
      <c r="G27" s="590">
        <v>1526.94</v>
      </c>
      <c r="H27" s="590">
        <v>426124</v>
      </c>
      <c r="I27" s="590">
        <v>1550.4</v>
      </c>
      <c r="J27" s="590">
        <v>431667</v>
      </c>
      <c r="K27" s="590">
        <v>89.41</v>
      </c>
      <c r="L27" s="855">
        <v>24530</v>
      </c>
      <c r="M27" s="847">
        <f>+K27+I27+G27+E27+C27</f>
        <v>10866.99</v>
      </c>
      <c r="N27" s="591">
        <f>+L27+J27+H27+F27+D27</f>
        <v>3874441</v>
      </c>
      <c r="O27" s="591">
        <v>102434</v>
      </c>
      <c r="P27" s="592">
        <v>57.8</v>
      </c>
      <c r="Q27" s="592">
        <v>6857</v>
      </c>
      <c r="R27" s="592">
        <v>101</v>
      </c>
      <c r="S27" s="593">
        <f t="shared" si="0"/>
        <v>10924.789999999999</v>
      </c>
      <c r="T27" s="593">
        <f t="shared" si="1"/>
        <v>3881298</v>
      </c>
      <c r="U27" s="604">
        <f t="shared" si="2"/>
        <v>102535</v>
      </c>
      <c r="V27" s="594"/>
    </row>
    <row r="28" spans="1:22" ht="18.75" customHeight="1">
      <c r="A28" s="585" t="s">
        <v>271</v>
      </c>
      <c r="B28" s="595" t="s">
        <v>264</v>
      </c>
      <c r="C28" s="596">
        <v>0</v>
      </c>
      <c r="D28" s="596">
        <v>0</v>
      </c>
      <c r="E28" s="596">
        <v>0</v>
      </c>
      <c r="F28" s="596">
        <v>0</v>
      </c>
      <c r="G28" s="596">
        <v>4.01</v>
      </c>
      <c r="H28" s="596">
        <v>1111</v>
      </c>
      <c r="I28" s="596">
        <v>0</v>
      </c>
      <c r="J28" s="596">
        <v>0</v>
      </c>
      <c r="K28" s="596">
        <v>85.29</v>
      </c>
      <c r="L28" s="856">
        <v>3916</v>
      </c>
      <c r="M28" s="848">
        <f>+K28+I28+G28+E28+C28</f>
        <v>89.30000000000001</v>
      </c>
      <c r="N28" s="597">
        <f>+L28+J28+H28+F28+D28</f>
        <v>5027</v>
      </c>
      <c r="O28" s="597">
        <v>205</v>
      </c>
      <c r="P28" s="598">
        <v>5875.64</v>
      </c>
      <c r="Q28" s="598">
        <v>693592</v>
      </c>
      <c r="R28" s="598">
        <v>10664</v>
      </c>
      <c r="S28" s="599">
        <f t="shared" si="0"/>
        <v>5964.9400000000005</v>
      </c>
      <c r="T28" s="599">
        <f t="shared" si="1"/>
        <v>698619</v>
      </c>
      <c r="U28" s="605">
        <f t="shared" si="2"/>
        <v>10869</v>
      </c>
      <c r="V28" s="600"/>
    </row>
    <row r="29" spans="1:22" ht="18.75" customHeight="1">
      <c r="A29" s="587"/>
      <c r="B29" s="595" t="s">
        <v>260</v>
      </c>
      <c r="C29" s="602">
        <f aca="true" t="shared" si="10" ref="C29:R29">C28+C27</f>
        <v>5869.67</v>
      </c>
      <c r="D29" s="602">
        <f t="shared" si="10"/>
        <v>2517580</v>
      </c>
      <c r="E29" s="602">
        <f t="shared" si="10"/>
        <v>1830.57</v>
      </c>
      <c r="F29" s="602">
        <f t="shared" si="10"/>
        <v>474540</v>
      </c>
      <c r="G29" s="602">
        <f t="shared" si="10"/>
        <v>1530.95</v>
      </c>
      <c r="H29" s="602">
        <f t="shared" si="10"/>
        <v>427235</v>
      </c>
      <c r="I29" s="602">
        <f t="shared" si="10"/>
        <v>1550.4</v>
      </c>
      <c r="J29" s="602">
        <f t="shared" si="10"/>
        <v>431667</v>
      </c>
      <c r="K29" s="602">
        <f t="shared" si="10"/>
        <v>174.7</v>
      </c>
      <c r="L29" s="838">
        <f t="shared" si="10"/>
        <v>28446</v>
      </c>
      <c r="M29" s="849">
        <f t="shared" si="10"/>
        <v>10956.289999999999</v>
      </c>
      <c r="N29" s="602">
        <f t="shared" si="10"/>
        <v>3879468</v>
      </c>
      <c r="O29" s="602">
        <f t="shared" si="10"/>
        <v>102639</v>
      </c>
      <c r="P29" s="602">
        <f t="shared" si="10"/>
        <v>5933.4400000000005</v>
      </c>
      <c r="Q29" s="602">
        <f t="shared" si="10"/>
        <v>700449</v>
      </c>
      <c r="R29" s="602">
        <f t="shared" si="10"/>
        <v>10765</v>
      </c>
      <c r="S29" s="602">
        <f t="shared" si="0"/>
        <v>16889.73</v>
      </c>
      <c r="T29" s="602">
        <f t="shared" si="1"/>
        <v>4579917</v>
      </c>
      <c r="U29" s="838">
        <f t="shared" si="2"/>
        <v>113404</v>
      </c>
      <c r="V29" s="594"/>
    </row>
    <row r="30" spans="1:22" ht="18.75" customHeight="1">
      <c r="A30" s="589"/>
      <c r="B30" s="588" t="s">
        <v>262</v>
      </c>
      <c r="C30" s="590">
        <v>9108.61</v>
      </c>
      <c r="D30" s="590">
        <v>4409339</v>
      </c>
      <c r="E30" s="590">
        <v>855.68</v>
      </c>
      <c r="F30" s="590">
        <v>258843</v>
      </c>
      <c r="G30" s="590">
        <v>2888.86</v>
      </c>
      <c r="H30" s="590">
        <v>892549</v>
      </c>
      <c r="I30" s="590">
        <v>3098.27</v>
      </c>
      <c r="J30" s="590">
        <v>953044</v>
      </c>
      <c r="K30" s="590">
        <v>100.23</v>
      </c>
      <c r="L30" s="855">
        <v>30985</v>
      </c>
      <c r="M30" s="847">
        <f>+K30+I30+G30+E30+C30</f>
        <v>16051.650000000001</v>
      </c>
      <c r="N30" s="591">
        <f>+L30+J30+H30+F30+D30</f>
        <v>6544760</v>
      </c>
      <c r="O30" s="591">
        <v>128981</v>
      </c>
      <c r="P30" s="592">
        <v>6.16</v>
      </c>
      <c r="Q30" s="592">
        <v>869</v>
      </c>
      <c r="R30" s="592">
        <v>11</v>
      </c>
      <c r="S30" s="593">
        <f t="shared" si="0"/>
        <v>16057.810000000001</v>
      </c>
      <c r="T30" s="593">
        <f t="shared" si="1"/>
        <v>6545629</v>
      </c>
      <c r="U30" s="604">
        <f t="shared" si="2"/>
        <v>128992</v>
      </c>
      <c r="V30" s="594"/>
    </row>
    <row r="31" spans="1:22" ht="18.75" customHeight="1">
      <c r="A31" s="585" t="s">
        <v>272</v>
      </c>
      <c r="B31" s="595" t="s">
        <v>264</v>
      </c>
      <c r="C31" s="596">
        <v>0.18</v>
      </c>
      <c r="D31" s="596">
        <v>104</v>
      </c>
      <c r="E31" s="596">
        <v>0</v>
      </c>
      <c r="F31" s="596">
        <v>0</v>
      </c>
      <c r="G31" s="596">
        <v>0.69</v>
      </c>
      <c r="H31" s="596">
        <v>211</v>
      </c>
      <c r="I31" s="596">
        <v>0</v>
      </c>
      <c r="J31" s="596">
        <v>0</v>
      </c>
      <c r="K31" s="596">
        <v>111.17999999999999</v>
      </c>
      <c r="L31" s="856">
        <v>6044</v>
      </c>
      <c r="M31" s="848">
        <f>+K31+I31+G31+E31+C31</f>
        <v>112.05</v>
      </c>
      <c r="N31" s="597">
        <f>+L31+J31+H31+F31+D31</f>
        <v>6359</v>
      </c>
      <c r="O31" s="597">
        <v>247</v>
      </c>
      <c r="P31" s="598">
        <v>7462.63</v>
      </c>
      <c r="Q31" s="598">
        <v>956255</v>
      </c>
      <c r="R31" s="598">
        <v>12026</v>
      </c>
      <c r="S31" s="599">
        <f t="shared" si="0"/>
        <v>7574.68</v>
      </c>
      <c r="T31" s="599">
        <f t="shared" si="1"/>
        <v>962614</v>
      </c>
      <c r="U31" s="605">
        <f t="shared" si="2"/>
        <v>12273</v>
      </c>
      <c r="V31" s="600"/>
    </row>
    <row r="32" spans="1:22" ht="18.75" customHeight="1">
      <c r="A32" s="587"/>
      <c r="B32" s="595" t="s">
        <v>260</v>
      </c>
      <c r="C32" s="602">
        <f aca="true" t="shared" si="11" ref="C32:R32">C31+C30</f>
        <v>9108.79</v>
      </c>
      <c r="D32" s="602">
        <f t="shared" si="11"/>
        <v>4409443</v>
      </c>
      <c r="E32" s="602">
        <f t="shared" si="11"/>
        <v>855.68</v>
      </c>
      <c r="F32" s="602">
        <f t="shared" si="11"/>
        <v>258843</v>
      </c>
      <c r="G32" s="602">
        <f t="shared" si="11"/>
        <v>2889.55</v>
      </c>
      <c r="H32" s="602">
        <f t="shared" si="11"/>
        <v>892760</v>
      </c>
      <c r="I32" s="602">
        <f t="shared" si="11"/>
        <v>3098.27</v>
      </c>
      <c r="J32" s="602">
        <f t="shared" si="11"/>
        <v>953044</v>
      </c>
      <c r="K32" s="602">
        <f t="shared" si="11"/>
        <v>211.41</v>
      </c>
      <c r="L32" s="838">
        <f t="shared" si="11"/>
        <v>37029</v>
      </c>
      <c r="M32" s="849">
        <f t="shared" si="11"/>
        <v>16163.7</v>
      </c>
      <c r="N32" s="602">
        <f t="shared" si="11"/>
        <v>6551119</v>
      </c>
      <c r="O32" s="602">
        <f t="shared" si="11"/>
        <v>129228</v>
      </c>
      <c r="P32" s="602">
        <f t="shared" si="11"/>
        <v>7468.79</v>
      </c>
      <c r="Q32" s="602">
        <f t="shared" si="11"/>
        <v>957124</v>
      </c>
      <c r="R32" s="602">
        <f t="shared" si="11"/>
        <v>12037</v>
      </c>
      <c r="S32" s="602">
        <f t="shared" si="0"/>
        <v>23632.49</v>
      </c>
      <c r="T32" s="602">
        <f t="shared" si="1"/>
        <v>7508243</v>
      </c>
      <c r="U32" s="838">
        <f t="shared" si="2"/>
        <v>141265</v>
      </c>
      <c r="V32" s="600"/>
    </row>
    <row r="33" spans="1:22" ht="18.75" customHeight="1">
      <c r="A33" s="589"/>
      <c r="B33" s="588" t="s">
        <v>262</v>
      </c>
      <c r="C33" s="590">
        <v>12521.41</v>
      </c>
      <c r="D33" s="590">
        <v>6672070</v>
      </c>
      <c r="E33" s="590">
        <v>705.45</v>
      </c>
      <c r="F33" s="590">
        <v>239509</v>
      </c>
      <c r="G33" s="590">
        <v>2773.49</v>
      </c>
      <c r="H33" s="590">
        <v>925166</v>
      </c>
      <c r="I33" s="590">
        <v>3361.61</v>
      </c>
      <c r="J33" s="590">
        <v>1113411</v>
      </c>
      <c r="K33" s="590">
        <v>85.95</v>
      </c>
      <c r="L33" s="855">
        <v>29029</v>
      </c>
      <c r="M33" s="847">
        <f>+K33+I33+G33+E33+C33</f>
        <v>19447.91</v>
      </c>
      <c r="N33" s="591">
        <f>+L33+J33+H33+F33+D33</f>
        <v>8979185</v>
      </c>
      <c r="O33" s="591">
        <v>137022</v>
      </c>
      <c r="P33" s="592">
        <v>2.32</v>
      </c>
      <c r="Q33" s="592">
        <v>357</v>
      </c>
      <c r="R33" s="592">
        <v>3</v>
      </c>
      <c r="S33" s="593">
        <f t="shared" si="0"/>
        <v>19450.23</v>
      </c>
      <c r="T33" s="593">
        <f t="shared" si="1"/>
        <v>8979542</v>
      </c>
      <c r="U33" s="604">
        <f t="shared" si="2"/>
        <v>137025</v>
      </c>
      <c r="V33" s="594"/>
    </row>
    <row r="34" spans="1:22" ht="18.75" customHeight="1">
      <c r="A34" s="585" t="s">
        <v>273</v>
      </c>
      <c r="B34" s="595" t="s">
        <v>264</v>
      </c>
      <c r="C34" s="596">
        <v>0.05</v>
      </c>
      <c r="D34" s="596">
        <v>32</v>
      </c>
      <c r="E34" s="596">
        <v>0</v>
      </c>
      <c r="F34" s="596">
        <v>0</v>
      </c>
      <c r="G34" s="596">
        <v>9.68</v>
      </c>
      <c r="H34" s="596">
        <v>3323</v>
      </c>
      <c r="I34" s="596">
        <v>0.16</v>
      </c>
      <c r="J34" s="596">
        <v>54</v>
      </c>
      <c r="K34" s="596">
        <v>721.86</v>
      </c>
      <c r="L34" s="856">
        <v>47046</v>
      </c>
      <c r="M34" s="848">
        <f>+K34+I34+G34+E34+C34</f>
        <v>731.7499999999999</v>
      </c>
      <c r="N34" s="597">
        <f>+L34+J34+H34+F34+D34</f>
        <v>50455</v>
      </c>
      <c r="O34" s="597">
        <v>1695</v>
      </c>
      <c r="P34" s="598">
        <v>11576.56</v>
      </c>
      <c r="Q34" s="598">
        <v>1570639</v>
      </c>
      <c r="R34" s="598">
        <v>17280</v>
      </c>
      <c r="S34" s="599">
        <f t="shared" si="0"/>
        <v>12308.31</v>
      </c>
      <c r="T34" s="599">
        <f t="shared" si="1"/>
        <v>1621094</v>
      </c>
      <c r="U34" s="605">
        <f t="shared" si="2"/>
        <v>18975</v>
      </c>
      <c r="V34" s="600"/>
    </row>
    <row r="35" spans="1:22" ht="18.75" customHeight="1">
      <c r="A35" s="587"/>
      <c r="B35" s="595" t="s">
        <v>260</v>
      </c>
      <c r="C35" s="602">
        <f aca="true" t="shared" si="12" ref="C35:R35">C34+C33</f>
        <v>12521.46</v>
      </c>
      <c r="D35" s="602">
        <f t="shared" si="12"/>
        <v>6672102</v>
      </c>
      <c r="E35" s="602">
        <f t="shared" si="12"/>
        <v>705.45</v>
      </c>
      <c r="F35" s="602">
        <f t="shared" si="12"/>
        <v>239509</v>
      </c>
      <c r="G35" s="602">
        <f t="shared" si="12"/>
        <v>2783.1699999999996</v>
      </c>
      <c r="H35" s="602">
        <f t="shared" si="12"/>
        <v>928489</v>
      </c>
      <c r="I35" s="602">
        <f t="shared" si="12"/>
        <v>3361.77</v>
      </c>
      <c r="J35" s="602">
        <f t="shared" si="12"/>
        <v>1113465</v>
      </c>
      <c r="K35" s="602">
        <f t="shared" si="12"/>
        <v>807.8100000000001</v>
      </c>
      <c r="L35" s="838">
        <f t="shared" si="12"/>
        <v>76075</v>
      </c>
      <c r="M35" s="849">
        <f t="shared" si="12"/>
        <v>20179.66</v>
      </c>
      <c r="N35" s="602">
        <f t="shared" si="12"/>
        <v>9029640</v>
      </c>
      <c r="O35" s="602">
        <f t="shared" si="12"/>
        <v>138717</v>
      </c>
      <c r="P35" s="602">
        <f t="shared" si="12"/>
        <v>11578.88</v>
      </c>
      <c r="Q35" s="602">
        <f t="shared" si="12"/>
        <v>1570996</v>
      </c>
      <c r="R35" s="602">
        <f t="shared" si="12"/>
        <v>17283</v>
      </c>
      <c r="S35" s="602">
        <f t="shared" si="0"/>
        <v>31758.54</v>
      </c>
      <c r="T35" s="602">
        <f t="shared" si="1"/>
        <v>10600636</v>
      </c>
      <c r="U35" s="838">
        <f t="shared" si="2"/>
        <v>156000</v>
      </c>
      <c r="V35" s="594"/>
    </row>
    <row r="36" spans="1:22" ht="18.75" customHeight="1">
      <c r="A36" s="589"/>
      <c r="B36" s="588" t="s">
        <v>262</v>
      </c>
      <c r="C36" s="590">
        <v>11309.2</v>
      </c>
      <c r="D36" s="590">
        <v>6504556</v>
      </c>
      <c r="E36" s="590">
        <v>495.93</v>
      </c>
      <c r="F36" s="590">
        <v>183827</v>
      </c>
      <c r="G36" s="590">
        <v>1889.2</v>
      </c>
      <c r="H36" s="590">
        <v>678043</v>
      </c>
      <c r="I36" s="590">
        <v>3352.58</v>
      </c>
      <c r="J36" s="590">
        <v>1183050</v>
      </c>
      <c r="K36" s="590">
        <v>35.35</v>
      </c>
      <c r="L36" s="855">
        <v>12571</v>
      </c>
      <c r="M36" s="847">
        <f>+K36+I36+G36+E36+C36</f>
        <v>17082.260000000002</v>
      </c>
      <c r="N36" s="591">
        <f>+L36+J36+H36+F36+D36</f>
        <v>8562047</v>
      </c>
      <c r="O36" s="591">
        <v>105939</v>
      </c>
      <c r="P36" s="592">
        <v>3.19</v>
      </c>
      <c r="Q36" s="592">
        <v>509</v>
      </c>
      <c r="R36" s="592">
        <v>5</v>
      </c>
      <c r="S36" s="593">
        <f t="shared" si="0"/>
        <v>17085.45</v>
      </c>
      <c r="T36" s="593">
        <f t="shared" si="1"/>
        <v>8562556</v>
      </c>
      <c r="U36" s="604">
        <f t="shared" si="2"/>
        <v>105944</v>
      </c>
      <c r="V36" s="594"/>
    </row>
    <row r="37" spans="1:22" ht="18.75" customHeight="1">
      <c r="A37" s="585" t="s">
        <v>274</v>
      </c>
      <c r="B37" s="595" t="s">
        <v>264</v>
      </c>
      <c r="C37" s="596">
        <v>0</v>
      </c>
      <c r="D37" s="596">
        <v>0</v>
      </c>
      <c r="E37" s="596">
        <v>0</v>
      </c>
      <c r="F37" s="596">
        <v>0</v>
      </c>
      <c r="G37" s="596">
        <v>0.55</v>
      </c>
      <c r="H37" s="596">
        <v>193</v>
      </c>
      <c r="I37" s="596">
        <v>0</v>
      </c>
      <c r="J37" s="596">
        <v>0</v>
      </c>
      <c r="K37" s="596">
        <v>136.65</v>
      </c>
      <c r="L37" s="856">
        <v>10981</v>
      </c>
      <c r="M37" s="848">
        <f>+K37+I37+G37+E37+C37</f>
        <v>137.20000000000002</v>
      </c>
      <c r="N37" s="597">
        <f>+L37+J37+H37+F37+D37</f>
        <v>11174</v>
      </c>
      <c r="O37" s="597">
        <v>343</v>
      </c>
      <c r="P37" s="598">
        <v>13932.92</v>
      </c>
      <c r="Q37" s="598">
        <v>2007219</v>
      </c>
      <c r="R37" s="598">
        <v>20021</v>
      </c>
      <c r="S37" s="599">
        <f t="shared" si="0"/>
        <v>14070.12</v>
      </c>
      <c r="T37" s="599">
        <f t="shared" si="1"/>
        <v>2018393</v>
      </c>
      <c r="U37" s="605">
        <f t="shared" si="2"/>
        <v>20364</v>
      </c>
      <c r="V37" s="600"/>
    </row>
    <row r="38" spans="1:22" ht="18.75" customHeight="1">
      <c r="A38" s="587"/>
      <c r="B38" s="595" t="s">
        <v>260</v>
      </c>
      <c r="C38" s="602">
        <f aca="true" t="shared" si="13" ref="C38:R38">C37+C36</f>
        <v>11309.2</v>
      </c>
      <c r="D38" s="602">
        <f t="shared" si="13"/>
        <v>6504556</v>
      </c>
      <c r="E38" s="602">
        <f t="shared" si="13"/>
        <v>495.93</v>
      </c>
      <c r="F38" s="602">
        <f t="shared" si="13"/>
        <v>183827</v>
      </c>
      <c r="G38" s="602">
        <f t="shared" si="13"/>
        <v>1889.75</v>
      </c>
      <c r="H38" s="602">
        <f t="shared" si="13"/>
        <v>678236</v>
      </c>
      <c r="I38" s="602">
        <f t="shared" si="13"/>
        <v>3352.58</v>
      </c>
      <c r="J38" s="602">
        <f t="shared" si="13"/>
        <v>1183050</v>
      </c>
      <c r="K38" s="602">
        <f t="shared" si="13"/>
        <v>172</v>
      </c>
      <c r="L38" s="838">
        <f t="shared" si="13"/>
        <v>23552</v>
      </c>
      <c r="M38" s="849">
        <f t="shared" si="13"/>
        <v>17219.460000000003</v>
      </c>
      <c r="N38" s="602">
        <f t="shared" si="13"/>
        <v>8573221</v>
      </c>
      <c r="O38" s="602">
        <f t="shared" si="13"/>
        <v>106282</v>
      </c>
      <c r="P38" s="602">
        <f t="shared" si="13"/>
        <v>13936.11</v>
      </c>
      <c r="Q38" s="602">
        <f t="shared" si="13"/>
        <v>2007728</v>
      </c>
      <c r="R38" s="602">
        <f t="shared" si="13"/>
        <v>20026</v>
      </c>
      <c r="S38" s="602">
        <f t="shared" si="0"/>
        <v>31155.570000000003</v>
      </c>
      <c r="T38" s="602">
        <f t="shared" si="1"/>
        <v>10580949</v>
      </c>
      <c r="U38" s="838">
        <f t="shared" si="2"/>
        <v>126308</v>
      </c>
      <c r="V38" s="594"/>
    </row>
    <row r="39" spans="1:22" ht="18.75" customHeight="1">
      <c r="A39" s="589"/>
      <c r="B39" s="588" t="s">
        <v>262</v>
      </c>
      <c r="C39" s="590">
        <v>7784.71</v>
      </c>
      <c r="D39" s="590">
        <v>4880566</v>
      </c>
      <c r="E39" s="590">
        <v>389.26</v>
      </c>
      <c r="F39" s="590">
        <v>154417</v>
      </c>
      <c r="G39" s="590">
        <v>1303.25</v>
      </c>
      <c r="H39" s="590">
        <v>490969</v>
      </c>
      <c r="I39" s="590">
        <v>1866.51</v>
      </c>
      <c r="J39" s="590">
        <v>687628</v>
      </c>
      <c r="K39" s="590">
        <v>4.11</v>
      </c>
      <c r="L39" s="855">
        <v>1569</v>
      </c>
      <c r="M39" s="847">
        <f>+K39+I39+G39+E39+C39</f>
        <v>11347.84</v>
      </c>
      <c r="N39" s="591">
        <f>+L39+J39+H39+F39+D39</f>
        <v>6215149</v>
      </c>
      <c r="O39" s="591">
        <v>60895</v>
      </c>
      <c r="P39" s="592">
        <v>0.45</v>
      </c>
      <c r="Q39" s="592">
        <v>72</v>
      </c>
      <c r="R39" s="592">
        <v>0</v>
      </c>
      <c r="S39" s="593">
        <f t="shared" si="0"/>
        <v>11348.29</v>
      </c>
      <c r="T39" s="593">
        <f t="shared" si="1"/>
        <v>6215221</v>
      </c>
      <c r="U39" s="604">
        <f t="shared" si="2"/>
        <v>60895</v>
      </c>
      <c r="V39" s="594"/>
    </row>
    <row r="40" spans="1:22" ht="18.75" customHeight="1">
      <c r="A40" s="585" t="s">
        <v>275</v>
      </c>
      <c r="B40" s="595" t="s">
        <v>264</v>
      </c>
      <c r="C40" s="596">
        <v>0</v>
      </c>
      <c r="D40" s="596"/>
      <c r="E40" s="596">
        <v>0</v>
      </c>
      <c r="F40" s="596">
        <v>0</v>
      </c>
      <c r="G40" s="596">
        <v>0.05</v>
      </c>
      <c r="H40" s="596">
        <v>19</v>
      </c>
      <c r="I40" s="596">
        <v>0</v>
      </c>
      <c r="J40" s="596">
        <v>0</v>
      </c>
      <c r="K40" s="596">
        <v>85.85</v>
      </c>
      <c r="L40" s="856">
        <v>7801</v>
      </c>
      <c r="M40" s="848">
        <f>+K40+I40+G40+E40+C40</f>
        <v>85.89999999999999</v>
      </c>
      <c r="N40" s="597">
        <f>+L40+J40+H40+F40+D40</f>
        <v>7820</v>
      </c>
      <c r="O40" s="597">
        <v>210</v>
      </c>
      <c r="P40" s="598">
        <v>12245.92</v>
      </c>
      <c r="Q40" s="598">
        <v>1852135</v>
      </c>
      <c r="R40" s="598">
        <v>18804</v>
      </c>
      <c r="S40" s="599">
        <f t="shared" si="0"/>
        <v>12331.82</v>
      </c>
      <c r="T40" s="599">
        <f t="shared" si="1"/>
        <v>1859955</v>
      </c>
      <c r="U40" s="605">
        <f t="shared" si="2"/>
        <v>19014</v>
      </c>
      <c r="V40" s="600"/>
    </row>
    <row r="41" spans="1:22" ht="18.75" customHeight="1">
      <c r="A41" s="587"/>
      <c r="B41" s="595" t="s">
        <v>260</v>
      </c>
      <c r="C41" s="602">
        <f aca="true" t="shared" si="14" ref="C41:R41">C40+C39</f>
        <v>7784.71</v>
      </c>
      <c r="D41" s="602">
        <f t="shared" si="14"/>
        <v>4880566</v>
      </c>
      <c r="E41" s="602">
        <f t="shared" si="14"/>
        <v>389.26</v>
      </c>
      <c r="F41" s="602">
        <f t="shared" si="14"/>
        <v>154417</v>
      </c>
      <c r="G41" s="602">
        <f t="shared" si="14"/>
        <v>1303.3</v>
      </c>
      <c r="H41" s="602">
        <f t="shared" si="14"/>
        <v>490988</v>
      </c>
      <c r="I41" s="602">
        <f t="shared" si="14"/>
        <v>1866.51</v>
      </c>
      <c r="J41" s="602">
        <f t="shared" si="14"/>
        <v>687628</v>
      </c>
      <c r="K41" s="602">
        <f t="shared" si="14"/>
        <v>89.96</v>
      </c>
      <c r="L41" s="838">
        <f t="shared" si="14"/>
        <v>9370</v>
      </c>
      <c r="M41" s="849">
        <f t="shared" si="14"/>
        <v>11433.74</v>
      </c>
      <c r="N41" s="602">
        <f t="shared" si="14"/>
        <v>6222969</v>
      </c>
      <c r="O41" s="602">
        <f t="shared" si="14"/>
        <v>61105</v>
      </c>
      <c r="P41" s="602">
        <f t="shared" si="14"/>
        <v>12246.37</v>
      </c>
      <c r="Q41" s="602">
        <f t="shared" si="14"/>
        <v>1852207</v>
      </c>
      <c r="R41" s="602">
        <f t="shared" si="14"/>
        <v>18804</v>
      </c>
      <c r="S41" s="602">
        <f t="shared" si="0"/>
        <v>23680.11</v>
      </c>
      <c r="T41" s="602">
        <f t="shared" si="1"/>
        <v>8075176</v>
      </c>
      <c r="U41" s="838">
        <f t="shared" si="2"/>
        <v>79909</v>
      </c>
      <c r="V41" s="594"/>
    </row>
    <row r="42" spans="1:22" ht="18.75" customHeight="1">
      <c r="A42" s="589"/>
      <c r="B42" s="588" t="s">
        <v>262</v>
      </c>
      <c r="C42" s="590">
        <v>2975.38</v>
      </c>
      <c r="D42" s="590">
        <v>1955268</v>
      </c>
      <c r="E42" s="590">
        <v>185.56</v>
      </c>
      <c r="F42" s="590">
        <v>78471</v>
      </c>
      <c r="G42" s="590">
        <v>588.5</v>
      </c>
      <c r="H42" s="590">
        <v>233358</v>
      </c>
      <c r="I42" s="590">
        <v>531.36</v>
      </c>
      <c r="J42" s="590">
        <v>204930</v>
      </c>
      <c r="K42" s="590">
        <v>1.2</v>
      </c>
      <c r="L42" s="855">
        <v>479</v>
      </c>
      <c r="M42" s="847">
        <f>+K42+I42+G42+E42+C42</f>
        <v>4282</v>
      </c>
      <c r="N42" s="591">
        <f>+L42+J42+H42+F42+D42</f>
        <v>2472506</v>
      </c>
      <c r="O42" s="591">
        <v>19748</v>
      </c>
      <c r="P42" s="592">
        <v>2.57</v>
      </c>
      <c r="Q42" s="592">
        <v>561</v>
      </c>
      <c r="R42" s="592">
        <v>5</v>
      </c>
      <c r="S42" s="593">
        <f t="shared" si="0"/>
        <v>4284.57</v>
      </c>
      <c r="T42" s="593">
        <f t="shared" si="1"/>
        <v>2473067</v>
      </c>
      <c r="U42" s="604">
        <f t="shared" si="2"/>
        <v>19753</v>
      </c>
      <c r="V42" s="594"/>
    </row>
    <row r="43" spans="1:22" ht="18.75" customHeight="1">
      <c r="A43" s="585" t="s">
        <v>276</v>
      </c>
      <c r="B43" s="595" t="s">
        <v>264</v>
      </c>
      <c r="C43" s="596">
        <v>0</v>
      </c>
      <c r="D43" s="596">
        <v>0</v>
      </c>
      <c r="E43" s="596">
        <v>0</v>
      </c>
      <c r="F43" s="596">
        <v>0</v>
      </c>
      <c r="G43" s="596">
        <v>2.1100000000000003</v>
      </c>
      <c r="H43" s="596">
        <v>837</v>
      </c>
      <c r="I43" s="596">
        <v>0</v>
      </c>
      <c r="J43" s="596">
        <v>0</v>
      </c>
      <c r="K43" s="596">
        <v>4.26</v>
      </c>
      <c r="L43" s="856">
        <v>460</v>
      </c>
      <c r="M43" s="848">
        <f>+K43+I43+G43+E43+C43</f>
        <v>6.37</v>
      </c>
      <c r="N43" s="597">
        <f>+L43+J43+H43+F43+D43</f>
        <v>1297</v>
      </c>
      <c r="O43" s="597">
        <v>16</v>
      </c>
      <c r="P43" s="598">
        <v>7861.47</v>
      </c>
      <c r="Q43" s="598">
        <v>1240639</v>
      </c>
      <c r="R43" s="598">
        <v>8973</v>
      </c>
      <c r="S43" s="599">
        <f t="shared" si="0"/>
        <v>7867.84</v>
      </c>
      <c r="T43" s="599">
        <f t="shared" si="1"/>
        <v>1241936</v>
      </c>
      <c r="U43" s="605">
        <f t="shared" si="2"/>
        <v>8989</v>
      </c>
      <c r="V43" s="600"/>
    </row>
    <row r="44" spans="1:22" ht="18.75" customHeight="1">
      <c r="A44" s="587"/>
      <c r="B44" s="595" t="s">
        <v>260</v>
      </c>
      <c r="C44" s="602">
        <f aca="true" t="shared" si="15" ref="C44:R44">C43+C42</f>
        <v>2975.38</v>
      </c>
      <c r="D44" s="602">
        <f t="shared" si="15"/>
        <v>1955268</v>
      </c>
      <c r="E44" s="602">
        <f t="shared" si="15"/>
        <v>185.56</v>
      </c>
      <c r="F44" s="602">
        <f t="shared" si="15"/>
        <v>78471</v>
      </c>
      <c r="G44" s="602">
        <f t="shared" si="15"/>
        <v>590.61</v>
      </c>
      <c r="H44" s="602">
        <f t="shared" si="15"/>
        <v>234195</v>
      </c>
      <c r="I44" s="602">
        <f t="shared" si="15"/>
        <v>531.36</v>
      </c>
      <c r="J44" s="602">
        <f t="shared" si="15"/>
        <v>204930</v>
      </c>
      <c r="K44" s="602">
        <f t="shared" si="15"/>
        <v>5.46</v>
      </c>
      <c r="L44" s="838">
        <f t="shared" si="15"/>
        <v>939</v>
      </c>
      <c r="M44" s="849">
        <f t="shared" si="15"/>
        <v>4288.37</v>
      </c>
      <c r="N44" s="602">
        <f t="shared" si="15"/>
        <v>2473803</v>
      </c>
      <c r="O44" s="602">
        <f t="shared" si="15"/>
        <v>19764</v>
      </c>
      <c r="P44" s="602">
        <f t="shared" si="15"/>
        <v>7864.04</v>
      </c>
      <c r="Q44" s="602">
        <f t="shared" si="15"/>
        <v>1241200</v>
      </c>
      <c r="R44" s="602">
        <f t="shared" si="15"/>
        <v>8978</v>
      </c>
      <c r="S44" s="602">
        <f t="shared" si="0"/>
        <v>12152.41</v>
      </c>
      <c r="T44" s="602">
        <f t="shared" si="1"/>
        <v>3715003</v>
      </c>
      <c r="U44" s="838">
        <f t="shared" si="2"/>
        <v>28742</v>
      </c>
      <c r="V44" s="594"/>
    </row>
    <row r="45" spans="1:22" ht="18.75" customHeight="1">
      <c r="A45" s="589"/>
      <c r="B45" s="588" t="s">
        <v>262</v>
      </c>
      <c r="C45" s="590">
        <v>2127.06</v>
      </c>
      <c r="D45" s="590">
        <v>1448834</v>
      </c>
      <c r="E45" s="590">
        <v>247.03</v>
      </c>
      <c r="F45" s="590">
        <v>109794</v>
      </c>
      <c r="G45" s="590">
        <v>364.11</v>
      </c>
      <c r="H45" s="590">
        <v>149712</v>
      </c>
      <c r="I45" s="590">
        <v>277.7</v>
      </c>
      <c r="J45" s="590">
        <v>110089</v>
      </c>
      <c r="K45" s="590">
        <v>1.16</v>
      </c>
      <c r="L45" s="855">
        <v>480</v>
      </c>
      <c r="M45" s="847">
        <f>+K45+I45+G45+E45+C45</f>
        <v>3017.06</v>
      </c>
      <c r="N45" s="591">
        <f>+L45+J45+H45+F45+D45</f>
        <v>1818909</v>
      </c>
      <c r="O45" s="591">
        <v>13630</v>
      </c>
      <c r="P45" s="592">
        <v>0</v>
      </c>
      <c r="Q45" s="592">
        <v>0</v>
      </c>
      <c r="R45" s="592">
        <v>0</v>
      </c>
      <c r="S45" s="593">
        <f t="shared" si="0"/>
        <v>3017.06</v>
      </c>
      <c r="T45" s="593">
        <f t="shared" si="1"/>
        <v>1818909</v>
      </c>
      <c r="U45" s="604">
        <f t="shared" si="2"/>
        <v>13630</v>
      </c>
      <c r="V45" s="594"/>
    </row>
    <row r="46" spans="1:22" ht="18.75" customHeight="1">
      <c r="A46" s="585" t="s">
        <v>277</v>
      </c>
      <c r="B46" s="595" t="s">
        <v>264</v>
      </c>
      <c r="C46" s="596">
        <v>0</v>
      </c>
      <c r="D46" s="596">
        <v>0</v>
      </c>
      <c r="E46" s="596">
        <v>0</v>
      </c>
      <c r="F46" s="596">
        <v>0</v>
      </c>
      <c r="G46" s="596">
        <v>0.4</v>
      </c>
      <c r="H46" s="596">
        <v>166</v>
      </c>
      <c r="I46" s="596">
        <v>0</v>
      </c>
      <c r="J46" s="596">
        <v>0</v>
      </c>
      <c r="K46" s="596">
        <v>235.57</v>
      </c>
      <c r="L46" s="856">
        <v>28269</v>
      </c>
      <c r="M46" s="848">
        <f>+K46+I46+G46+E46+C46</f>
        <v>235.97</v>
      </c>
      <c r="N46" s="597">
        <f>+L46+J46+H46+F46+D46</f>
        <v>28435</v>
      </c>
      <c r="O46" s="597">
        <v>622</v>
      </c>
      <c r="P46" s="598">
        <v>4824.29</v>
      </c>
      <c r="Q46" s="598">
        <v>783042</v>
      </c>
      <c r="R46" s="598">
        <v>5271</v>
      </c>
      <c r="S46" s="599">
        <f t="shared" si="0"/>
        <v>5060.26</v>
      </c>
      <c r="T46" s="599">
        <f t="shared" si="1"/>
        <v>811477</v>
      </c>
      <c r="U46" s="605">
        <f t="shared" si="2"/>
        <v>5893</v>
      </c>
      <c r="V46" s="600"/>
    </row>
    <row r="47" spans="1:22" ht="18.75" customHeight="1">
      <c r="A47" s="587"/>
      <c r="B47" s="595" t="s">
        <v>260</v>
      </c>
      <c r="C47" s="602">
        <f aca="true" t="shared" si="16" ref="C47:R47">C46+C45</f>
        <v>2127.06</v>
      </c>
      <c r="D47" s="602">
        <f t="shared" si="16"/>
        <v>1448834</v>
      </c>
      <c r="E47" s="602">
        <f t="shared" si="16"/>
        <v>247.03</v>
      </c>
      <c r="F47" s="602">
        <f t="shared" si="16"/>
        <v>109794</v>
      </c>
      <c r="G47" s="602">
        <f t="shared" si="16"/>
        <v>364.51</v>
      </c>
      <c r="H47" s="602">
        <f t="shared" si="16"/>
        <v>149878</v>
      </c>
      <c r="I47" s="602">
        <f t="shared" si="16"/>
        <v>277.7</v>
      </c>
      <c r="J47" s="602">
        <f t="shared" si="16"/>
        <v>110089</v>
      </c>
      <c r="K47" s="602">
        <f t="shared" si="16"/>
        <v>236.73</v>
      </c>
      <c r="L47" s="838">
        <f t="shared" si="16"/>
        <v>28749</v>
      </c>
      <c r="M47" s="849">
        <f t="shared" si="16"/>
        <v>3253.0299999999997</v>
      </c>
      <c r="N47" s="602">
        <f t="shared" si="16"/>
        <v>1847344</v>
      </c>
      <c r="O47" s="602">
        <f t="shared" si="16"/>
        <v>14252</v>
      </c>
      <c r="P47" s="602">
        <f t="shared" si="16"/>
        <v>4824.29</v>
      </c>
      <c r="Q47" s="602">
        <f t="shared" si="16"/>
        <v>783042</v>
      </c>
      <c r="R47" s="602">
        <f t="shared" si="16"/>
        <v>5271</v>
      </c>
      <c r="S47" s="602">
        <f t="shared" si="0"/>
        <v>8077.32</v>
      </c>
      <c r="T47" s="602">
        <f t="shared" si="1"/>
        <v>2630386</v>
      </c>
      <c r="U47" s="838">
        <f t="shared" si="2"/>
        <v>19523</v>
      </c>
      <c r="V47" s="594"/>
    </row>
    <row r="48" spans="1:22" ht="18.75" customHeight="1">
      <c r="A48" s="589"/>
      <c r="B48" s="588" t="s">
        <v>262</v>
      </c>
      <c r="C48" s="590">
        <v>4090.38</v>
      </c>
      <c r="D48" s="590">
        <v>2790273</v>
      </c>
      <c r="E48" s="590">
        <v>746.46</v>
      </c>
      <c r="F48" s="590">
        <v>336795</v>
      </c>
      <c r="G48" s="590">
        <v>1026.8</v>
      </c>
      <c r="H48" s="590">
        <v>427096</v>
      </c>
      <c r="I48" s="590">
        <v>532.8</v>
      </c>
      <c r="J48" s="590">
        <v>213120</v>
      </c>
      <c r="K48" s="590">
        <v>25.67</v>
      </c>
      <c r="L48" s="855">
        <v>10674</v>
      </c>
      <c r="M48" s="847">
        <f>+K48+I48+G48+E48+C48</f>
        <v>6422.110000000001</v>
      </c>
      <c r="N48" s="591">
        <f>+L48+J48+H48+F48+D48</f>
        <v>3777958</v>
      </c>
      <c r="O48" s="591">
        <v>28266</v>
      </c>
      <c r="P48" s="592">
        <v>2.62</v>
      </c>
      <c r="Q48" s="592">
        <v>483</v>
      </c>
      <c r="R48" s="592">
        <v>3</v>
      </c>
      <c r="S48" s="593">
        <f t="shared" si="0"/>
        <v>6424.7300000000005</v>
      </c>
      <c r="T48" s="593">
        <f t="shared" si="1"/>
        <v>3778441</v>
      </c>
      <c r="U48" s="604">
        <f t="shared" si="2"/>
        <v>28269</v>
      </c>
      <c r="V48" s="594"/>
    </row>
    <row r="49" spans="1:22" ht="18.75" customHeight="1">
      <c r="A49" s="585" t="s">
        <v>278</v>
      </c>
      <c r="B49" s="595" t="s">
        <v>264</v>
      </c>
      <c r="C49" s="596">
        <v>0</v>
      </c>
      <c r="D49" s="596">
        <v>0</v>
      </c>
      <c r="E49" s="596">
        <v>0</v>
      </c>
      <c r="F49" s="596">
        <v>0</v>
      </c>
      <c r="G49" s="596">
        <v>1.22</v>
      </c>
      <c r="H49" s="596">
        <v>507</v>
      </c>
      <c r="I49" s="596">
        <v>0.17</v>
      </c>
      <c r="J49" s="596">
        <v>68</v>
      </c>
      <c r="K49" s="596">
        <v>7273.38</v>
      </c>
      <c r="L49" s="856">
        <v>1287080</v>
      </c>
      <c r="M49" s="848">
        <f>+K49+I49+G49+E49+C49</f>
        <v>7274.77</v>
      </c>
      <c r="N49" s="597">
        <f>+L49+J49+H49+F49+D49</f>
        <v>1287655</v>
      </c>
      <c r="O49" s="597">
        <v>5913</v>
      </c>
      <c r="P49" s="598">
        <v>21012.62</v>
      </c>
      <c r="Q49" s="598">
        <v>3549519</v>
      </c>
      <c r="R49" s="598">
        <v>15184</v>
      </c>
      <c r="S49" s="599">
        <f t="shared" si="0"/>
        <v>28287.39</v>
      </c>
      <c r="T49" s="599">
        <f t="shared" si="1"/>
        <v>4837174</v>
      </c>
      <c r="U49" s="605">
        <f t="shared" si="2"/>
        <v>21097</v>
      </c>
      <c r="V49" s="600"/>
    </row>
    <row r="50" spans="1:22" ht="18.75" customHeight="1">
      <c r="A50" s="585" t="s">
        <v>279</v>
      </c>
      <c r="B50" s="595" t="s">
        <v>260</v>
      </c>
      <c r="C50" s="602">
        <f aca="true" t="shared" si="17" ref="C50:R50">C49+C48</f>
        <v>4090.38</v>
      </c>
      <c r="D50" s="602">
        <f t="shared" si="17"/>
        <v>2790273</v>
      </c>
      <c r="E50" s="602">
        <f t="shared" si="17"/>
        <v>746.46</v>
      </c>
      <c r="F50" s="602">
        <f t="shared" si="17"/>
        <v>336795</v>
      </c>
      <c r="G50" s="602">
        <f t="shared" si="17"/>
        <v>1028.02</v>
      </c>
      <c r="H50" s="602">
        <f t="shared" si="17"/>
        <v>427603</v>
      </c>
      <c r="I50" s="602">
        <f t="shared" si="17"/>
        <v>532.9699999999999</v>
      </c>
      <c r="J50" s="602">
        <f t="shared" si="17"/>
        <v>213188</v>
      </c>
      <c r="K50" s="602">
        <f t="shared" si="17"/>
        <v>7299.05</v>
      </c>
      <c r="L50" s="838">
        <f t="shared" si="17"/>
        <v>1297754</v>
      </c>
      <c r="M50" s="849">
        <f t="shared" si="17"/>
        <v>13696.880000000001</v>
      </c>
      <c r="N50" s="602">
        <f t="shared" si="17"/>
        <v>5065613</v>
      </c>
      <c r="O50" s="602">
        <f t="shared" si="17"/>
        <v>34179</v>
      </c>
      <c r="P50" s="602">
        <f t="shared" si="17"/>
        <v>21015.239999999998</v>
      </c>
      <c r="Q50" s="602">
        <f t="shared" si="17"/>
        <v>3550002</v>
      </c>
      <c r="R50" s="602">
        <f t="shared" si="17"/>
        <v>15187</v>
      </c>
      <c r="S50" s="602">
        <f t="shared" si="0"/>
        <v>34712.119999999995</v>
      </c>
      <c r="T50" s="602">
        <f t="shared" si="1"/>
        <v>8615615</v>
      </c>
      <c r="U50" s="838">
        <f t="shared" si="2"/>
        <v>49366</v>
      </c>
      <c r="V50" s="594"/>
    </row>
    <row r="51" spans="1:22" ht="18.75" customHeight="1">
      <c r="A51" s="589"/>
      <c r="B51" s="588" t="s">
        <v>262</v>
      </c>
      <c r="C51" s="593">
        <f aca="true" t="shared" si="18" ref="C51:Q51">C48+C45+C42+C39+C36+C33+C30+C27+C24+C21+C18+C15+C12+C9+C6</f>
        <v>61859.55999999999</v>
      </c>
      <c r="D51" s="593">
        <f t="shared" si="18"/>
        <v>32955147</v>
      </c>
      <c r="E51" s="593">
        <f t="shared" si="18"/>
        <v>15888.220000000001</v>
      </c>
      <c r="F51" s="593">
        <f t="shared" si="18"/>
        <v>3066210</v>
      </c>
      <c r="G51" s="593">
        <f t="shared" si="18"/>
        <v>13031.779999999997</v>
      </c>
      <c r="H51" s="593">
        <f t="shared" si="18"/>
        <v>4369371</v>
      </c>
      <c r="I51" s="593">
        <f t="shared" si="18"/>
        <v>17229.73</v>
      </c>
      <c r="J51" s="593">
        <f t="shared" si="18"/>
        <v>5388208</v>
      </c>
      <c r="K51" s="593">
        <f t="shared" si="18"/>
        <v>624.2900000000001</v>
      </c>
      <c r="L51" s="604">
        <f t="shared" si="18"/>
        <v>150535</v>
      </c>
      <c r="M51" s="850">
        <f t="shared" si="18"/>
        <v>108633.58000000002</v>
      </c>
      <c r="N51" s="604">
        <f t="shared" si="18"/>
        <v>45929471</v>
      </c>
      <c r="O51" s="593">
        <v>788059</v>
      </c>
      <c r="P51" s="593">
        <f t="shared" si="18"/>
        <v>1061.03</v>
      </c>
      <c r="Q51" s="593">
        <f t="shared" si="18"/>
        <v>67199</v>
      </c>
      <c r="R51" s="593">
        <f>R48+R45+R42+R39+R36+R33+R30+R27+R24+R21+R18+R15+R12+R9+R6</f>
        <v>4037</v>
      </c>
      <c r="S51" s="593">
        <f t="shared" si="0"/>
        <v>109694.61000000002</v>
      </c>
      <c r="T51" s="593">
        <f>Q51+N51</f>
        <v>45996670</v>
      </c>
      <c r="U51" s="604">
        <f t="shared" si="2"/>
        <v>792096</v>
      </c>
      <c r="V51" s="594"/>
    </row>
    <row r="52" spans="1:22" ht="18.75" customHeight="1">
      <c r="A52" s="585" t="s">
        <v>280</v>
      </c>
      <c r="B52" s="595" t="s">
        <v>264</v>
      </c>
      <c r="C52" s="599">
        <f aca="true" t="shared" si="19" ref="C52:R52">C49+C46+C43+C40+C37+C34+C31+C28+C25+C22+C19+C16+C13+C10+C7</f>
        <v>0.43999999999999995</v>
      </c>
      <c r="D52" s="599">
        <f t="shared" si="19"/>
        <v>206</v>
      </c>
      <c r="E52" s="599">
        <f t="shared" si="19"/>
        <v>0</v>
      </c>
      <c r="F52" s="599">
        <f t="shared" si="19"/>
        <v>0</v>
      </c>
      <c r="G52" s="599">
        <f t="shared" si="19"/>
        <v>20.99</v>
      </c>
      <c r="H52" s="599">
        <f t="shared" si="19"/>
        <v>6705</v>
      </c>
      <c r="I52" s="599">
        <f t="shared" si="19"/>
        <v>0.33</v>
      </c>
      <c r="J52" s="599">
        <f t="shared" si="19"/>
        <v>122</v>
      </c>
      <c r="K52" s="599">
        <f t="shared" si="19"/>
        <v>8799.69</v>
      </c>
      <c r="L52" s="605">
        <f t="shared" si="19"/>
        <v>1395903</v>
      </c>
      <c r="M52" s="839">
        <f>M49+M46+M43+M40+M37+M34+M31+M28+M25+M22+M19+M16+M13+M10+M7</f>
        <v>8821.449999999997</v>
      </c>
      <c r="N52" s="605">
        <f t="shared" si="19"/>
        <v>1402936</v>
      </c>
      <c r="O52" s="605">
        <f>O49+O46+O43+O40+O37+O34+O31+O28+O25+O22+O19+O16+O13+O10+O7</f>
        <v>9534</v>
      </c>
      <c r="P52" s="605">
        <v>102370</v>
      </c>
      <c r="Q52" s="605">
        <f t="shared" si="19"/>
        <v>13979932</v>
      </c>
      <c r="R52" s="605">
        <f t="shared" si="19"/>
        <v>160774</v>
      </c>
      <c r="S52" s="599">
        <v>111191</v>
      </c>
      <c r="T52" s="605">
        <f>Q52+N52</f>
        <v>15382868</v>
      </c>
      <c r="U52" s="839">
        <f>R52+O52</f>
        <v>170308</v>
      </c>
      <c r="V52" s="600"/>
    </row>
    <row r="53" spans="1:22" ht="18.75" customHeight="1" thickBot="1">
      <c r="A53" s="606"/>
      <c r="B53" s="607" t="s">
        <v>260</v>
      </c>
      <c r="C53" s="608">
        <f aca="true" t="shared" si="20" ref="C53:R53">C52+C51</f>
        <v>61859.99999999999</v>
      </c>
      <c r="D53" s="608">
        <f t="shared" si="20"/>
        <v>32955353</v>
      </c>
      <c r="E53" s="608">
        <f>E52+E51</f>
        <v>15888.220000000001</v>
      </c>
      <c r="F53" s="608">
        <f>F51+F52</f>
        <v>3066210</v>
      </c>
      <c r="G53" s="608">
        <f t="shared" si="20"/>
        <v>13052.769999999997</v>
      </c>
      <c r="H53" s="608">
        <f t="shared" si="20"/>
        <v>4376076</v>
      </c>
      <c r="I53" s="608">
        <f t="shared" si="20"/>
        <v>17230.06</v>
      </c>
      <c r="J53" s="608">
        <f t="shared" si="20"/>
        <v>5388330</v>
      </c>
      <c r="K53" s="608">
        <f t="shared" si="20"/>
        <v>9423.980000000001</v>
      </c>
      <c r="L53" s="609">
        <f t="shared" si="20"/>
        <v>1546438</v>
      </c>
      <c r="M53" s="851">
        <f t="shared" si="20"/>
        <v>117455.03000000001</v>
      </c>
      <c r="N53" s="608">
        <f t="shared" si="20"/>
        <v>47332407</v>
      </c>
      <c r="O53" s="608">
        <f>O52+O51</f>
        <v>797593</v>
      </c>
      <c r="P53" s="608">
        <f t="shared" si="20"/>
        <v>103431.03</v>
      </c>
      <c r="Q53" s="608">
        <f t="shared" si="20"/>
        <v>14047131</v>
      </c>
      <c r="R53" s="608">
        <f t="shared" si="20"/>
        <v>164811</v>
      </c>
      <c r="S53" s="608">
        <f>P53+M53</f>
        <v>220886.06</v>
      </c>
      <c r="T53" s="609">
        <f>Q53+N53</f>
        <v>61379538</v>
      </c>
      <c r="U53" s="840">
        <f>R53+O53</f>
        <v>962404</v>
      </c>
      <c r="V53" s="594"/>
    </row>
    <row r="54" spans="1:21" ht="18.75" customHeight="1" thickBot="1">
      <c r="A54" s="584"/>
      <c r="B54" s="584"/>
      <c r="C54" s="610"/>
      <c r="D54" s="610"/>
      <c r="E54" s="610"/>
      <c r="F54" s="610"/>
      <c r="G54" s="610"/>
      <c r="H54" s="610"/>
      <c r="I54" s="610"/>
      <c r="J54" s="610"/>
      <c r="K54" s="610"/>
      <c r="L54" s="859"/>
      <c r="M54" s="610"/>
      <c r="N54" s="610"/>
      <c r="O54" s="610"/>
      <c r="P54" s="829"/>
      <c r="Q54" s="610"/>
      <c r="R54" s="610"/>
      <c r="S54" s="611"/>
      <c r="T54" s="611"/>
      <c r="U54" s="841"/>
    </row>
    <row r="55" spans="1:21" ht="18.75" customHeight="1">
      <c r="A55" s="612"/>
      <c r="B55" s="613" t="s">
        <v>262</v>
      </c>
      <c r="C55" s="614">
        <v>17269.42</v>
      </c>
      <c r="D55" s="614">
        <v>3744780</v>
      </c>
      <c r="E55" s="615">
        <v>7901.64</v>
      </c>
      <c r="F55" s="615">
        <v>979869</v>
      </c>
      <c r="G55" s="615">
        <v>5592.64</v>
      </c>
      <c r="H55" s="615">
        <v>1099128</v>
      </c>
      <c r="I55" s="615">
        <v>28048.08</v>
      </c>
      <c r="J55" s="615">
        <v>4885936</v>
      </c>
      <c r="K55" s="615">
        <v>407.21</v>
      </c>
      <c r="L55" s="857">
        <v>58676</v>
      </c>
      <c r="M55" s="616">
        <f>C55+E55+G55+I55+K55</f>
        <v>59218.99</v>
      </c>
      <c r="N55" s="616">
        <f>D55+F55+H55+J55+L55</f>
        <v>10768389</v>
      </c>
      <c r="O55" s="615">
        <v>242510.6</v>
      </c>
      <c r="P55" s="615">
        <v>10281.33</v>
      </c>
      <c r="Q55" s="615">
        <v>1475583</v>
      </c>
      <c r="R55" s="615">
        <v>43361.1</v>
      </c>
      <c r="S55" s="617">
        <f aca="true" t="shared" si="21" ref="S55:U56">M55+P55</f>
        <v>69500.31999999999</v>
      </c>
      <c r="T55" s="617">
        <f t="shared" si="21"/>
        <v>12243972</v>
      </c>
      <c r="U55" s="842">
        <f t="shared" si="21"/>
        <v>285871.7</v>
      </c>
    </row>
    <row r="56" spans="1:21" ht="18.75" customHeight="1">
      <c r="A56" s="618" t="s">
        <v>281</v>
      </c>
      <c r="B56" s="619" t="s">
        <v>264</v>
      </c>
      <c r="C56" s="620">
        <v>195.21</v>
      </c>
      <c r="D56" s="620">
        <v>36967</v>
      </c>
      <c r="E56" s="621">
        <v>344.2</v>
      </c>
      <c r="F56" s="621">
        <v>64722</v>
      </c>
      <c r="G56" s="621">
        <v>3584.04</v>
      </c>
      <c r="H56" s="621">
        <v>351384</v>
      </c>
      <c r="I56" s="621">
        <v>1040.89</v>
      </c>
      <c r="J56" s="621">
        <v>185779</v>
      </c>
      <c r="K56" s="621">
        <v>14596.72</v>
      </c>
      <c r="L56" s="858">
        <v>2064587</v>
      </c>
      <c r="M56" s="622">
        <f>C56+E56+G56+I56+K56</f>
        <v>19761.059999999998</v>
      </c>
      <c r="N56" s="622">
        <f>D56+F56+H56+J56+L56</f>
        <v>2703439</v>
      </c>
      <c r="O56" s="621">
        <v>5422.8</v>
      </c>
      <c r="P56" s="621">
        <v>86823.8</v>
      </c>
      <c r="Q56" s="621">
        <v>10104628</v>
      </c>
      <c r="R56" s="621">
        <v>69696.9</v>
      </c>
      <c r="S56" s="623">
        <f t="shared" si="21"/>
        <v>106584.86</v>
      </c>
      <c r="T56" s="623">
        <f t="shared" si="21"/>
        <v>12808067</v>
      </c>
      <c r="U56" s="843">
        <f t="shared" si="21"/>
        <v>75119.7</v>
      </c>
    </row>
    <row r="57" spans="1:21" ht="18.75" customHeight="1">
      <c r="A57" s="624"/>
      <c r="B57" s="625" t="s">
        <v>260</v>
      </c>
      <c r="C57" s="626">
        <f aca="true" t="shared" si="22" ref="C57:U57">SUM(C55:C56)</f>
        <v>17464.629999999997</v>
      </c>
      <c r="D57" s="627">
        <f t="shared" si="22"/>
        <v>3781747</v>
      </c>
      <c r="E57" s="627">
        <f t="shared" si="22"/>
        <v>8245.84</v>
      </c>
      <c r="F57" s="627">
        <f t="shared" si="22"/>
        <v>1044591</v>
      </c>
      <c r="G57" s="627">
        <f t="shared" si="22"/>
        <v>9176.68</v>
      </c>
      <c r="H57" s="627">
        <f t="shared" si="22"/>
        <v>1450512</v>
      </c>
      <c r="I57" s="627">
        <f t="shared" si="22"/>
        <v>29088.97</v>
      </c>
      <c r="J57" s="627">
        <f t="shared" si="22"/>
        <v>5071715</v>
      </c>
      <c r="K57" s="627">
        <f t="shared" si="22"/>
        <v>15003.929999999998</v>
      </c>
      <c r="L57" s="844">
        <f t="shared" si="22"/>
        <v>2123263</v>
      </c>
      <c r="M57" s="852">
        <f t="shared" si="22"/>
        <v>78980.04999999999</v>
      </c>
      <c r="N57" s="627">
        <f t="shared" si="22"/>
        <v>13471828</v>
      </c>
      <c r="O57" s="627">
        <f t="shared" si="22"/>
        <v>247933.4</v>
      </c>
      <c r="P57" s="627">
        <f t="shared" si="22"/>
        <v>97105.13</v>
      </c>
      <c r="Q57" s="627">
        <f t="shared" si="22"/>
        <v>11580211</v>
      </c>
      <c r="R57" s="627">
        <f t="shared" si="22"/>
        <v>113058</v>
      </c>
      <c r="S57" s="627">
        <f t="shared" si="22"/>
        <v>176085.18</v>
      </c>
      <c r="T57" s="627">
        <f t="shared" si="22"/>
        <v>25052039</v>
      </c>
      <c r="U57" s="844">
        <f t="shared" si="22"/>
        <v>360991.4</v>
      </c>
    </row>
    <row r="58" spans="1:21" ht="18.75" customHeight="1">
      <c r="A58" s="618"/>
      <c r="B58" s="619" t="s">
        <v>262</v>
      </c>
      <c r="C58" s="628">
        <f aca="true" t="shared" si="23" ref="C58:U58">+C55+C51</f>
        <v>79128.97999999998</v>
      </c>
      <c r="D58" s="623">
        <f t="shared" si="23"/>
        <v>36699927</v>
      </c>
      <c r="E58" s="623">
        <f t="shared" si="23"/>
        <v>23789.86</v>
      </c>
      <c r="F58" s="623">
        <f t="shared" si="23"/>
        <v>4046079</v>
      </c>
      <c r="G58" s="623">
        <f t="shared" si="23"/>
        <v>18624.42</v>
      </c>
      <c r="H58" s="623">
        <f t="shared" si="23"/>
        <v>5468499</v>
      </c>
      <c r="I58" s="623">
        <f t="shared" si="23"/>
        <v>45277.81</v>
      </c>
      <c r="J58" s="623">
        <f t="shared" si="23"/>
        <v>10274144</v>
      </c>
      <c r="K58" s="623">
        <f t="shared" si="23"/>
        <v>1031.5</v>
      </c>
      <c r="L58" s="843">
        <f t="shared" si="23"/>
        <v>209211</v>
      </c>
      <c r="M58" s="853">
        <f t="shared" si="23"/>
        <v>167852.57</v>
      </c>
      <c r="N58" s="623">
        <f t="shared" si="23"/>
        <v>56697860</v>
      </c>
      <c r="O58" s="623">
        <f t="shared" si="23"/>
        <v>1030569.6</v>
      </c>
      <c r="P58" s="623">
        <f t="shared" si="23"/>
        <v>11342.36</v>
      </c>
      <c r="Q58" s="623">
        <f t="shared" si="23"/>
        <v>1542782</v>
      </c>
      <c r="R58" s="623">
        <f t="shared" si="23"/>
        <v>47398.1</v>
      </c>
      <c r="S58" s="623">
        <f t="shared" si="23"/>
        <v>179194.93</v>
      </c>
      <c r="T58" s="623">
        <f t="shared" si="23"/>
        <v>58240642</v>
      </c>
      <c r="U58" s="843">
        <f t="shared" si="23"/>
        <v>1077967.7</v>
      </c>
    </row>
    <row r="59" spans="1:21" ht="18.75" customHeight="1">
      <c r="A59" s="618" t="s">
        <v>282</v>
      </c>
      <c r="B59" s="619" t="s">
        <v>264</v>
      </c>
      <c r="C59" s="623">
        <f aca="true" t="shared" si="24" ref="C59:U59">+C56+C52</f>
        <v>195.65</v>
      </c>
      <c r="D59" s="623">
        <f t="shared" si="24"/>
        <v>37173</v>
      </c>
      <c r="E59" s="623">
        <f t="shared" si="24"/>
        <v>344.2</v>
      </c>
      <c r="F59" s="623">
        <f t="shared" si="24"/>
        <v>64722</v>
      </c>
      <c r="G59" s="623">
        <f t="shared" si="24"/>
        <v>3605.0299999999997</v>
      </c>
      <c r="H59" s="623">
        <f t="shared" si="24"/>
        <v>358089</v>
      </c>
      <c r="I59" s="623">
        <f t="shared" si="24"/>
        <v>1041.22</v>
      </c>
      <c r="J59" s="623">
        <f t="shared" si="24"/>
        <v>185901</v>
      </c>
      <c r="K59" s="623">
        <f t="shared" si="24"/>
        <v>23396.41</v>
      </c>
      <c r="L59" s="843">
        <f t="shared" si="24"/>
        <v>3460490</v>
      </c>
      <c r="M59" s="853">
        <f t="shared" si="24"/>
        <v>28582.509999999995</v>
      </c>
      <c r="N59" s="623">
        <f t="shared" si="24"/>
        <v>4106375</v>
      </c>
      <c r="O59" s="623">
        <f t="shared" si="24"/>
        <v>14956.8</v>
      </c>
      <c r="P59" s="623">
        <f t="shared" si="24"/>
        <v>189193.8</v>
      </c>
      <c r="Q59" s="623">
        <f t="shared" si="24"/>
        <v>24084560</v>
      </c>
      <c r="R59" s="623">
        <f t="shared" si="24"/>
        <v>230470.9</v>
      </c>
      <c r="S59" s="623">
        <f t="shared" si="24"/>
        <v>217775.86</v>
      </c>
      <c r="T59" s="623">
        <f t="shared" si="24"/>
        <v>28190935</v>
      </c>
      <c r="U59" s="843">
        <f t="shared" si="24"/>
        <v>245427.7</v>
      </c>
    </row>
    <row r="60" spans="1:21" ht="18.75" customHeight="1" thickBot="1">
      <c r="A60" s="629"/>
      <c r="B60" s="630" t="s">
        <v>260</v>
      </c>
      <c r="C60" s="631">
        <f aca="true" t="shared" si="25" ref="C60:U60">SUM(C58:C59)</f>
        <v>79324.62999999998</v>
      </c>
      <c r="D60" s="632">
        <f t="shared" si="25"/>
        <v>36737100</v>
      </c>
      <c r="E60" s="632">
        <f t="shared" si="25"/>
        <v>24134.06</v>
      </c>
      <c r="F60" s="632">
        <f t="shared" si="25"/>
        <v>4110801</v>
      </c>
      <c r="G60" s="632">
        <f t="shared" si="25"/>
        <v>22229.449999999997</v>
      </c>
      <c r="H60" s="632">
        <f t="shared" si="25"/>
        <v>5826588</v>
      </c>
      <c r="I60" s="632">
        <f t="shared" si="25"/>
        <v>46319.03</v>
      </c>
      <c r="J60" s="632">
        <f t="shared" si="25"/>
        <v>10460045</v>
      </c>
      <c r="K60" s="632">
        <f t="shared" si="25"/>
        <v>24427.91</v>
      </c>
      <c r="L60" s="845">
        <f t="shared" si="25"/>
        <v>3669701</v>
      </c>
      <c r="M60" s="854">
        <f t="shared" si="25"/>
        <v>196435.08000000002</v>
      </c>
      <c r="N60" s="632">
        <f t="shared" si="25"/>
        <v>60804235</v>
      </c>
      <c r="O60" s="632">
        <f t="shared" si="25"/>
        <v>1045526.4</v>
      </c>
      <c r="P60" s="632">
        <f t="shared" si="25"/>
        <v>200536.15999999997</v>
      </c>
      <c r="Q60" s="632">
        <f t="shared" si="25"/>
        <v>25627342</v>
      </c>
      <c r="R60" s="632">
        <f t="shared" si="25"/>
        <v>277869</v>
      </c>
      <c r="S60" s="632">
        <f t="shared" si="25"/>
        <v>396970.79</v>
      </c>
      <c r="T60" s="632">
        <f t="shared" si="25"/>
        <v>86431577</v>
      </c>
      <c r="U60" s="845">
        <f t="shared" si="25"/>
        <v>1323395.4</v>
      </c>
    </row>
    <row r="61" spans="1:21" ht="18.75" customHeight="1">
      <c r="A61" s="584"/>
      <c r="B61" s="584"/>
      <c r="C61" s="610"/>
      <c r="D61" s="610"/>
      <c r="E61" s="610"/>
      <c r="F61" s="610"/>
      <c r="G61" s="610"/>
      <c r="H61" s="610"/>
      <c r="I61" s="610"/>
      <c r="J61" s="610"/>
      <c r="K61" s="610"/>
      <c r="L61" s="610"/>
      <c r="M61" s="610"/>
      <c r="N61" s="610"/>
      <c r="O61" s="610"/>
      <c r="P61" s="610"/>
      <c r="Q61" s="610"/>
      <c r="R61" s="610"/>
      <c r="S61" s="610"/>
      <c r="T61" s="610"/>
      <c r="U61" s="633"/>
    </row>
    <row r="62" spans="13:21" ht="18.75" customHeight="1">
      <c r="M62" s="610"/>
      <c r="N62" s="610"/>
      <c r="O62" s="610"/>
      <c r="P62" s="610"/>
      <c r="Q62" s="610"/>
      <c r="R62" s="610"/>
      <c r="S62" s="610"/>
      <c r="T62" s="610"/>
      <c r="U62" s="610"/>
    </row>
    <row r="64" spans="19:20" ht="18.75" customHeight="1">
      <c r="S64" s="830">
        <v>220886.08999999997</v>
      </c>
      <c r="T64" s="830">
        <v>61379538</v>
      </c>
    </row>
  </sheetData>
  <sheetProtection/>
  <mergeCells count="9">
    <mergeCell ref="S3:U4"/>
    <mergeCell ref="C4:D4"/>
    <mergeCell ref="E4:F4"/>
    <mergeCell ref="G4:H4"/>
    <mergeCell ref="I4:J4"/>
    <mergeCell ref="K4:L4"/>
    <mergeCell ref="M4:O4"/>
    <mergeCell ref="C3:O3"/>
    <mergeCell ref="P3:R4"/>
  </mergeCells>
  <printOptions horizontalCentered="1"/>
  <pageMargins left="0.7874015748031497" right="0.5905511811023623" top="0.7874015748031497" bottom="0.3937007874015748" header="0" footer="0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T54"/>
  <sheetViews>
    <sheetView view="pageBreakPreview" zoomScale="90" zoomScaleSheetLayoutView="90" zoomScalePageLayoutView="0" workbookViewId="0" topLeftCell="A1">
      <pane xSplit="2" ySplit="6" topLeftCell="C7" activePane="bottomRight" state="frozen"/>
      <selection pane="topLeft" activeCell="H55" sqref="H55"/>
      <selection pane="topRight" activeCell="H55" sqref="H55"/>
      <selection pane="bottomLeft" activeCell="H55" sqref="H55"/>
      <selection pane="bottomRight" activeCell="J33" sqref="J33:J34"/>
    </sheetView>
  </sheetViews>
  <sheetFormatPr defaultColWidth="9.00390625" defaultRowHeight="13.5"/>
  <cols>
    <col min="1" max="1" width="4.625" style="638" customWidth="1"/>
    <col min="2" max="2" width="18.25390625" style="638" customWidth="1"/>
    <col min="3" max="18" width="10.875" style="694" customWidth="1"/>
    <col min="19" max="19" width="5.375" style="695" bestFit="1" customWidth="1"/>
    <col min="20" max="16384" width="9.00390625" style="638" customWidth="1"/>
  </cols>
  <sheetData>
    <row r="1" spans="1:20" ht="14.25">
      <c r="A1" s="634" t="s">
        <v>291</v>
      </c>
      <c r="B1" s="634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6"/>
      <c r="T1" s="637"/>
    </row>
    <row r="2" spans="1:20" ht="12.75" thickBot="1">
      <c r="A2" s="637"/>
      <c r="B2" s="637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579"/>
      <c r="P2" s="579"/>
      <c r="Q2" s="579"/>
      <c r="R2" s="580" t="s">
        <v>147</v>
      </c>
      <c r="S2" s="639"/>
      <c r="T2" s="637"/>
    </row>
    <row r="3" spans="1:20" s="645" customFormat="1" ht="14.25">
      <c r="A3" s="1092" t="s">
        <v>60</v>
      </c>
      <c r="B3" s="1093"/>
      <c r="C3" s="640" t="s">
        <v>295</v>
      </c>
      <c r="D3" s="641" t="s">
        <v>263</v>
      </c>
      <c r="E3" s="641" t="s">
        <v>265</v>
      </c>
      <c r="F3" s="641" t="s">
        <v>266</v>
      </c>
      <c r="G3" s="641" t="s">
        <v>267</v>
      </c>
      <c r="H3" s="641" t="s">
        <v>268</v>
      </c>
      <c r="I3" s="641" t="s">
        <v>269</v>
      </c>
      <c r="J3" s="641" t="s">
        <v>270</v>
      </c>
      <c r="K3" s="641" t="s">
        <v>271</v>
      </c>
      <c r="L3" s="641" t="s">
        <v>272</v>
      </c>
      <c r="M3" s="641" t="s">
        <v>273</v>
      </c>
      <c r="N3" s="641" t="s">
        <v>274</v>
      </c>
      <c r="O3" s="641" t="s">
        <v>275</v>
      </c>
      <c r="P3" s="641" t="s">
        <v>276</v>
      </c>
      <c r="Q3" s="641" t="s">
        <v>277</v>
      </c>
      <c r="R3" s="642" t="s">
        <v>292</v>
      </c>
      <c r="S3" s="643"/>
      <c r="T3" s="644"/>
    </row>
    <row r="4" spans="1:20" s="651" customFormat="1" ht="19.5" customHeight="1">
      <c r="A4" s="1094" t="s">
        <v>296</v>
      </c>
      <c r="B4" s="1095"/>
      <c r="C4" s="646">
        <v>110609</v>
      </c>
      <c r="D4" s="647">
        <v>823</v>
      </c>
      <c r="E4" s="647">
        <v>2672</v>
      </c>
      <c r="F4" s="647">
        <v>3453</v>
      </c>
      <c r="G4" s="647">
        <v>4375</v>
      </c>
      <c r="H4" s="647">
        <v>6237</v>
      </c>
      <c r="I4" s="647">
        <v>10624</v>
      </c>
      <c r="J4" s="647">
        <v>15419</v>
      </c>
      <c r="K4" s="647">
        <v>19969</v>
      </c>
      <c r="L4" s="647">
        <v>18234</v>
      </c>
      <c r="M4" s="647">
        <v>13871</v>
      </c>
      <c r="N4" s="647">
        <v>4749</v>
      </c>
      <c r="O4" s="647">
        <v>3230</v>
      </c>
      <c r="P4" s="647">
        <v>2235</v>
      </c>
      <c r="Q4" s="647">
        <v>1426</v>
      </c>
      <c r="R4" s="648">
        <v>3292</v>
      </c>
      <c r="S4" s="649" t="s">
        <v>297</v>
      </c>
      <c r="T4" s="650"/>
    </row>
    <row r="5" spans="1:20" s="651" customFormat="1" ht="19.5" customHeight="1">
      <c r="A5" s="1094" t="s">
        <v>298</v>
      </c>
      <c r="B5" s="1095"/>
      <c r="C5" s="646">
        <v>110949.18</v>
      </c>
      <c r="D5" s="647">
        <v>670.96</v>
      </c>
      <c r="E5" s="647">
        <v>1751.38</v>
      </c>
      <c r="F5" s="647">
        <v>2746.52</v>
      </c>
      <c r="G5" s="647">
        <v>3453.48</v>
      </c>
      <c r="H5" s="647">
        <v>4364.57</v>
      </c>
      <c r="I5" s="647">
        <v>6230.5</v>
      </c>
      <c r="J5" s="647">
        <v>10507.39</v>
      </c>
      <c r="K5" s="647">
        <v>15234.07</v>
      </c>
      <c r="L5" s="647">
        <v>19773.19</v>
      </c>
      <c r="M5" s="647">
        <v>18228.17</v>
      </c>
      <c r="N5" s="647">
        <v>13357.62</v>
      </c>
      <c r="O5" s="647">
        <v>4628.74</v>
      </c>
      <c r="P5" s="647">
        <v>3168.88</v>
      </c>
      <c r="Q5" s="647">
        <v>2176.17</v>
      </c>
      <c r="R5" s="648">
        <v>4657.54</v>
      </c>
      <c r="S5" s="649" t="s">
        <v>299</v>
      </c>
      <c r="T5" s="650"/>
    </row>
    <row r="6" spans="1:20" s="656" customFormat="1" ht="19.5" customHeight="1" thickBot="1">
      <c r="A6" s="1096" t="s">
        <v>388</v>
      </c>
      <c r="B6" s="1097"/>
      <c r="C6" s="652">
        <f>+C7+C14+C22+C40</f>
        <v>109694.79000000001</v>
      </c>
      <c r="D6" s="653">
        <f aca="true" t="shared" si="0" ref="D6:R6">+D7+D14+D22+D40</f>
        <v>336.83000000000004</v>
      </c>
      <c r="E6" s="653">
        <f t="shared" si="0"/>
        <v>1145.8600000000001</v>
      </c>
      <c r="F6" s="653">
        <f t="shared" si="0"/>
        <v>1940.2700000000002</v>
      </c>
      <c r="G6" s="653">
        <f t="shared" si="0"/>
        <v>2901.08</v>
      </c>
      <c r="H6" s="653">
        <f t="shared" si="0"/>
        <v>3545.75</v>
      </c>
      <c r="I6" s="653">
        <f t="shared" si="0"/>
        <v>4603.3</v>
      </c>
      <c r="J6" s="653">
        <f t="shared" si="0"/>
        <v>6629.8099999999995</v>
      </c>
      <c r="K6" s="653">
        <f t="shared" si="0"/>
        <v>10925.119999999999</v>
      </c>
      <c r="L6" s="653">
        <f t="shared" si="0"/>
        <v>16057.75</v>
      </c>
      <c r="M6" s="653">
        <f t="shared" si="0"/>
        <v>19449.879999999997</v>
      </c>
      <c r="N6" s="653">
        <f t="shared" si="0"/>
        <v>17085.410000000003</v>
      </c>
      <c r="O6" s="653">
        <f t="shared" si="0"/>
        <v>11348.76</v>
      </c>
      <c r="P6" s="653">
        <f t="shared" si="0"/>
        <v>4284.1</v>
      </c>
      <c r="Q6" s="653">
        <f t="shared" si="0"/>
        <v>3016.73</v>
      </c>
      <c r="R6" s="653">
        <f t="shared" si="0"/>
        <v>6424.6</v>
      </c>
      <c r="S6" s="654" t="s">
        <v>401</v>
      </c>
      <c r="T6" s="655"/>
    </row>
    <row r="7" spans="1:20" s="661" customFormat="1" ht="25.5" customHeight="1">
      <c r="A7" s="1098" t="s">
        <v>134</v>
      </c>
      <c r="B7" s="1099"/>
      <c r="C7" s="657">
        <f aca="true" t="shared" si="1" ref="C7:R7">C8</f>
        <v>16867.920000000002</v>
      </c>
      <c r="D7" s="657">
        <f t="shared" si="1"/>
        <v>34.580000000000005</v>
      </c>
      <c r="E7" s="657">
        <f t="shared" si="1"/>
        <v>140.55999999999997</v>
      </c>
      <c r="F7" s="657">
        <f t="shared" si="1"/>
        <v>324.29</v>
      </c>
      <c r="G7" s="657">
        <f t="shared" si="1"/>
        <v>519.11</v>
      </c>
      <c r="H7" s="657">
        <f t="shared" si="1"/>
        <v>625.6700000000001</v>
      </c>
      <c r="I7" s="657">
        <f t="shared" si="1"/>
        <v>904.43</v>
      </c>
      <c r="J7" s="657">
        <f t="shared" si="1"/>
        <v>1417.87</v>
      </c>
      <c r="K7" s="657">
        <f t="shared" si="1"/>
        <v>2125.21</v>
      </c>
      <c r="L7" s="657">
        <f t="shared" si="1"/>
        <v>3341.2599999999998</v>
      </c>
      <c r="M7" s="657">
        <f t="shared" si="1"/>
        <v>3440.14</v>
      </c>
      <c r="N7" s="657">
        <f t="shared" si="1"/>
        <v>2345.67</v>
      </c>
      <c r="O7" s="657">
        <f t="shared" si="1"/>
        <v>598.44</v>
      </c>
      <c r="P7" s="657">
        <f t="shared" si="1"/>
        <v>364.95</v>
      </c>
      <c r="Q7" s="657">
        <f t="shared" si="1"/>
        <v>285.37</v>
      </c>
      <c r="R7" s="658">
        <f t="shared" si="1"/>
        <v>400.37</v>
      </c>
      <c r="S7" s="659"/>
      <c r="T7" s="660"/>
    </row>
    <row r="8" spans="1:20" s="665" customFormat="1" ht="18.75" customHeight="1">
      <c r="A8" s="1086" t="s">
        <v>381</v>
      </c>
      <c r="B8" s="1087"/>
      <c r="C8" s="653">
        <f aca="true" t="shared" si="2" ref="C8:R8">SUM(C9:C13)</f>
        <v>16867.920000000002</v>
      </c>
      <c r="D8" s="653">
        <f t="shared" si="2"/>
        <v>34.580000000000005</v>
      </c>
      <c r="E8" s="653">
        <f t="shared" si="2"/>
        <v>140.55999999999997</v>
      </c>
      <c r="F8" s="653">
        <f t="shared" si="2"/>
        <v>324.29</v>
      </c>
      <c r="G8" s="653">
        <f t="shared" si="2"/>
        <v>519.11</v>
      </c>
      <c r="H8" s="653">
        <f t="shared" si="2"/>
        <v>625.6700000000001</v>
      </c>
      <c r="I8" s="653">
        <f t="shared" si="2"/>
        <v>904.43</v>
      </c>
      <c r="J8" s="653">
        <f t="shared" si="2"/>
        <v>1417.87</v>
      </c>
      <c r="K8" s="653">
        <f t="shared" si="2"/>
        <v>2125.21</v>
      </c>
      <c r="L8" s="653">
        <f t="shared" si="2"/>
        <v>3341.2599999999998</v>
      </c>
      <c r="M8" s="653">
        <f t="shared" si="2"/>
        <v>3440.14</v>
      </c>
      <c r="N8" s="653">
        <f t="shared" si="2"/>
        <v>2345.67</v>
      </c>
      <c r="O8" s="653">
        <f t="shared" si="2"/>
        <v>598.44</v>
      </c>
      <c r="P8" s="653">
        <f t="shared" si="2"/>
        <v>364.95</v>
      </c>
      <c r="Q8" s="653">
        <f t="shared" si="2"/>
        <v>285.37</v>
      </c>
      <c r="R8" s="662">
        <f t="shared" si="2"/>
        <v>400.37</v>
      </c>
      <c r="S8" s="663"/>
      <c r="T8" s="664"/>
    </row>
    <row r="9" spans="1:20" s="651" customFormat="1" ht="18.75" customHeight="1">
      <c r="A9" s="813">
        <v>1</v>
      </c>
      <c r="B9" s="667" t="s">
        <v>102</v>
      </c>
      <c r="C9" s="647">
        <f>SUM(D9:R9)</f>
        <v>4698.51</v>
      </c>
      <c r="D9" s="668">
        <v>11.17</v>
      </c>
      <c r="E9" s="668">
        <v>61.45</v>
      </c>
      <c r="F9" s="668">
        <v>72.7</v>
      </c>
      <c r="G9" s="668">
        <v>129.34</v>
      </c>
      <c r="H9" s="668">
        <v>194.89</v>
      </c>
      <c r="I9" s="668">
        <v>309.97</v>
      </c>
      <c r="J9" s="668">
        <v>471.96</v>
      </c>
      <c r="K9" s="668">
        <v>603.94</v>
      </c>
      <c r="L9" s="668">
        <v>784.2</v>
      </c>
      <c r="M9" s="668">
        <v>804.15</v>
      </c>
      <c r="N9" s="668">
        <v>740.51</v>
      </c>
      <c r="O9" s="668">
        <v>198.87</v>
      </c>
      <c r="P9" s="668">
        <v>116.01</v>
      </c>
      <c r="Q9" s="668">
        <v>87.59</v>
      </c>
      <c r="R9" s="669">
        <v>111.76</v>
      </c>
      <c r="S9" s="670">
        <v>1</v>
      </c>
      <c r="T9" s="650"/>
    </row>
    <row r="10" spans="1:20" s="651" customFormat="1" ht="18.75" customHeight="1">
      <c r="A10" s="813">
        <v>2</v>
      </c>
      <c r="B10" s="667" t="s">
        <v>103</v>
      </c>
      <c r="C10" s="647">
        <f>SUM(D10:R10)</f>
        <v>4887.52</v>
      </c>
      <c r="D10" s="668">
        <v>4</v>
      </c>
      <c r="E10" s="668">
        <v>31.93</v>
      </c>
      <c r="F10" s="668">
        <v>55.37</v>
      </c>
      <c r="G10" s="668">
        <v>173.93</v>
      </c>
      <c r="H10" s="668">
        <v>239.73</v>
      </c>
      <c r="I10" s="668">
        <v>350.61</v>
      </c>
      <c r="J10" s="668">
        <v>432.95</v>
      </c>
      <c r="K10" s="668">
        <v>579.49</v>
      </c>
      <c r="L10" s="668">
        <v>1245.37</v>
      </c>
      <c r="M10" s="668">
        <v>1011.71</v>
      </c>
      <c r="N10" s="668">
        <v>517.39</v>
      </c>
      <c r="O10" s="668">
        <v>89.63</v>
      </c>
      <c r="P10" s="668">
        <v>45.95</v>
      </c>
      <c r="Q10" s="668">
        <v>51.52</v>
      </c>
      <c r="R10" s="669">
        <v>57.94</v>
      </c>
      <c r="S10" s="670">
        <v>2</v>
      </c>
      <c r="T10" s="650"/>
    </row>
    <row r="11" spans="1:20" s="651" customFormat="1" ht="18.75" customHeight="1">
      <c r="A11" s="813">
        <v>3</v>
      </c>
      <c r="B11" s="667" t="s">
        <v>104</v>
      </c>
      <c r="C11" s="647">
        <f>SUM(D11:R11)</f>
        <v>1999.91</v>
      </c>
      <c r="D11" s="668">
        <v>5.25</v>
      </c>
      <c r="E11" s="668">
        <v>11.24</v>
      </c>
      <c r="F11" s="668">
        <v>54.05</v>
      </c>
      <c r="G11" s="668">
        <v>76.37</v>
      </c>
      <c r="H11" s="668">
        <v>72.55</v>
      </c>
      <c r="I11" s="668">
        <v>131.16</v>
      </c>
      <c r="J11" s="668">
        <v>209.75</v>
      </c>
      <c r="K11" s="668">
        <v>279.07</v>
      </c>
      <c r="L11" s="668">
        <v>252.2</v>
      </c>
      <c r="M11" s="668">
        <v>463.39</v>
      </c>
      <c r="N11" s="668">
        <v>245.23</v>
      </c>
      <c r="O11" s="668">
        <v>45.79</v>
      </c>
      <c r="P11" s="668">
        <v>49.29</v>
      </c>
      <c r="Q11" s="668">
        <v>45.12</v>
      </c>
      <c r="R11" s="669">
        <v>59.45</v>
      </c>
      <c r="S11" s="670">
        <v>3</v>
      </c>
      <c r="T11" s="650"/>
    </row>
    <row r="12" spans="1:20" s="651" customFormat="1" ht="18.75" customHeight="1">
      <c r="A12" s="813">
        <v>4</v>
      </c>
      <c r="B12" s="667" t="s">
        <v>105</v>
      </c>
      <c r="C12" s="647">
        <f>SUM(D12:R12)</f>
        <v>851.28</v>
      </c>
      <c r="D12" s="668">
        <v>0.42</v>
      </c>
      <c r="E12" s="668">
        <v>14.35</v>
      </c>
      <c r="F12" s="668">
        <v>19.96</v>
      </c>
      <c r="G12" s="668">
        <v>18.49</v>
      </c>
      <c r="H12" s="668">
        <v>35.89</v>
      </c>
      <c r="I12" s="668">
        <v>29.03</v>
      </c>
      <c r="J12" s="668">
        <v>62.98</v>
      </c>
      <c r="K12" s="668">
        <v>56.85</v>
      </c>
      <c r="L12" s="668">
        <v>149.87</v>
      </c>
      <c r="M12" s="668">
        <v>177.12</v>
      </c>
      <c r="N12" s="668">
        <v>192.89</v>
      </c>
      <c r="O12" s="668">
        <v>39.8</v>
      </c>
      <c r="P12" s="668">
        <v>17.54</v>
      </c>
      <c r="Q12" s="668">
        <v>14.94</v>
      </c>
      <c r="R12" s="669">
        <v>21.15</v>
      </c>
      <c r="S12" s="670">
        <v>4</v>
      </c>
      <c r="T12" s="650"/>
    </row>
    <row r="13" spans="1:20" s="651" customFormat="1" ht="18.75" customHeight="1" thickBot="1">
      <c r="A13" s="813">
        <v>5</v>
      </c>
      <c r="B13" s="667" t="s">
        <v>180</v>
      </c>
      <c r="C13" s="647">
        <f>SUM(D13:R13)</f>
        <v>4430.7</v>
      </c>
      <c r="D13" s="668">
        <v>13.74</v>
      </c>
      <c r="E13" s="668">
        <v>21.59</v>
      </c>
      <c r="F13" s="668">
        <v>122.21</v>
      </c>
      <c r="G13" s="668">
        <v>120.98</v>
      </c>
      <c r="H13" s="668">
        <v>82.61</v>
      </c>
      <c r="I13" s="668">
        <v>83.66</v>
      </c>
      <c r="J13" s="668">
        <v>240.23</v>
      </c>
      <c r="K13" s="668">
        <v>605.86</v>
      </c>
      <c r="L13" s="668">
        <v>909.62</v>
      </c>
      <c r="M13" s="668">
        <v>983.77</v>
      </c>
      <c r="N13" s="668">
        <v>649.65</v>
      </c>
      <c r="O13" s="668">
        <v>224.35</v>
      </c>
      <c r="P13" s="668">
        <v>136.16</v>
      </c>
      <c r="Q13" s="668">
        <v>86.2</v>
      </c>
      <c r="R13" s="669">
        <v>150.07</v>
      </c>
      <c r="S13" s="670">
        <v>5</v>
      </c>
      <c r="T13" s="650"/>
    </row>
    <row r="14" spans="1:20" s="661" customFormat="1" ht="25.5" customHeight="1">
      <c r="A14" s="1090" t="s">
        <v>85</v>
      </c>
      <c r="B14" s="1091"/>
      <c r="C14" s="657">
        <f aca="true" t="shared" si="3" ref="C14:R14">C15</f>
        <v>21201.87</v>
      </c>
      <c r="D14" s="657">
        <f t="shared" si="3"/>
        <v>53.31</v>
      </c>
      <c r="E14" s="657">
        <f t="shared" si="3"/>
        <v>255.64</v>
      </c>
      <c r="F14" s="657">
        <f t="shared" si="3"/>
        <v>387.39</v>
      </c>
      <c r="G14" s="657">
        <f t="shared" si="3"/>
        <v>583.4499999999999</v>
      </c>
      <c r="H14" s="657">
        <f t="shared" si="3"/>
        <v>915.1500000000001</v>
      </c>
      <c r="I14" s="657">
        <f t="shared" si="3"/>
        <v>836.3</v>
      </c>
      <c r="J14" s="657">
        <f t="shared" si="3"/>
        <v>1238.1</v>
      </c>
      <c r="K14" s="657">
        <f t="shared" si="3"/>
        <v>2194</v>
      </c>
      <c r="L14" s="657">
        <f t="shared" si="3"/>
        <v>3234.1</v>
      </c>
      <c r="M14" s="657">
        <f t="shared" si="3"/>
        <v>3794.68</v>
      </c>
      <c r="N14" s="657">
        <f t="shared" si="3"/>
        <v>3659.09</v>
      </c>
      <c r="O14" s="657">
        <f t="shared" si="3"/>
        <v>1902.8900000000003</v>
      </c>
      <c r="P14" s="657">
        <f t="shared" si="3"/>
        <v>643.13</v>
      </c>
      <c r="Q14" s="657">
        <f t="shared" si="3"/>
        <v>402.4</v>
      </c>
      <c r="R14" s="658">
        <f t="shared" si="3"/>
        <v>1103.1399999999999</v>
      </c>
      <c r="S14" s="671"/>
      <c r="T14" s="660"/>
    </row>
    <row r="15" spans="1:20" s="665" customFormat="1" ht="18.75" customHeight="1">
      <c r="A15" s="1086" t="s">
        <v>184</v>
      </c>
      <c r="B15" s="1087"/>
      <c r="C15" s="653">
        <f>SUM(C16:C21)</f>
        <v>21201.87</v>
      </c>
      <c r="D15" s="653">
        <f aca="true" t="shared" si="4" ref="D15:R15">SUM(D16:D21)</f>
        <v>53.31</v>
      </c>
      <c r="E15" s="653">
        <f>SUM(E16:E21)</f>
        <v>255.64</v>
      </c>
      <c r="F15" s="653">
        <f t="shared" si="4"/>
        <v>387.39</v>
      </c>
      <c r="G15" s="653">
        <f t="shared" si="4"/>
        <v>583.4499999999999</v>
      </c>
      <c r="H15" s="653">
        <f t="shared" si="4"/>
        <v>915.1500000000001</v>
      </c>
      <c r="I15" s="653">
        <f>SUM(I16:I21)</f>
        <v>836.3</v>
      </c>
      <c r="J15" s="653">
        <f t="shared" si="4"/>
        <v>1238.1</v>
      </c>
      <c r="K15" s="653">
        <v>2194</v>
      </c>
      <c r="L15" s="653">
        <f t="shared" si="4"/>
        <v>3234.1</v>
      </c>
      <c r="M15" s="653">
        <f t="shared" si="4"/>
        <v>3794.68</v>
      </c>
      <c r="N15" s="653">
        <f t="shared" si="4"/>
        <v>3659.09</v>
      </c>
      <c r="O15" s="653">
        <f t="shared" si="4"/>
        <v>1902.8900000000003</v>
      </c>
      <c r="P15" s="653">
        <f t="shared" si="4"/>
        <v>643.13</v>
      </c>
      <c r="Q15" s="653">
        <f t="shared" si="4"/>
        <v>402.4</v>
      </c>
      <c r="R15" s="662">
        <f t="shared" si="4"/>
        <v>1103.1399999999999</v>
      </c>
      <c r="S15" s="672"/>
      <c r="T15" s="664"/>
    </row>
    <row r="16" spans="1:20" s="651" customFormat="1" ht="18.75" customHeight="1">
      <c r="A16" s="813">
        <v>6</v>
      </c>
      <c r="B16" s="667" t="s">
        <v>106</v>
      </c>
      <c r="C16" s="647">
        <f aca="true" t="shared" si="5" ref="C16:C21">SUM(D16:R16)</f>
        <v>4601.21</v>
      </c>
      <c r="D16" s="668">
        <f>2.06+2</f>
        <v>4.0600000000000005</v>
      </c>
      <c r="E16" s="668">
        <f>51+1</f>
        <v>52</v>
      </c>
      <c r="F16" s="668">
        <f>117.78+1</f>
        <v>118.78</v>
      </c>
      <c r="G16" s="668">
        <f>176.19+3</f>
        <v>179.19</v>
      </c>
      <c r="H16" s="668">
        <f>117.4+1</f>
        <v>118.4</v>
      </c>
      <c r="I16" s="668">
        <v>169</v>
      </c>
      <c r="J16" s="668">
        <f>376.89+31</f>
        <v>407.89</v>
      </c>
      <c r="K16" s="668">
        <f>585.75+85</f>
        <v>670.75</v>
      </c>
      <c r="L16" s="668">
        <f>560.74+151</f>
        <v>711.74</v>
      </c>
      <c r="M16" s="668">
        <f>555.76+175</f>
        <v>730.76</v>
      </c>
      <c r="N16" s="668">
        <f>534.84+121</f>
        <v>655.84</v>
      </c>
      <c r="O16" s="668">
        <f>346.13+54</f>
        <v>400.13</v>
      </c>
      <c r="P16" s="668">
        <f>83.76+24</f>
        <v>107.76</v>
      </c>
      <c r="Q16" s="668">
        <f>71.03+10</f>
        <v>81.03</v>
      </c>
      <c r="R16" s="669">
        <f>168.88+25</f>
        <v>193.88</v>
      </c>
      <c r="S16" s="670">
        <v>6</v>
      </c>
      <c r="T16" s="650"/>
    </row>
    <row r="17" spans="1:20" s="651" customFormat="1" ht="18.75" customHeight="1">
      <c r="A17" s="813">
        <v>7</v>
      </c>
      <c r="B17" s="667" t="s">
        <v>107</v>
      </c>
      <c r="C17" s="647">
        <f t="shared" si="5"/>
        <v>2999.73</v>
      </c>
      <c r="D17" s="668">
        <v>0</v>
      </c>
      <c r="E17" s="668">
        <v>5.46</v>
      </c>
      <c r="F17" s="668">
        <v>12.030000000000001</v>
      </c>
      <c r="G17" s="668">
        <v>79.57000000000001</v>
      </c>
      <c r="H17" s="668">
        <v>420.00000000000006</v>
      </c>
      <c r="I17" s="668">
        <v>128.24</v>
      </c>
      <c r="J17" s="668">
        <v>97.53</v>
      </c>
      <c r="K17" s="668">
        <v>303.79999999999995</v>
      </c>
      <c r="L17" s="668">
        <v>402.26</v>
      </c>
      <c r="M17" s="668">
        <v>566.49</v>
      </c>
      <c r="N17" s="668">
        <v>558.2900000000001</v>
      </c>
      <c r="O17" s="668">
        <v>264.81</v>
      </c>
      <c r="P17" s="668">
        <v>77.7</v>
      </c>
      <c r="Q17" s="668">
        <v>31.32</v>
      </c>
      <c r="R17" s="669">
        <v>52.23</v>
      </c>
      <c r="S17" s="670">
        <v>7</v>
      </c>
      <c r="T17" s="650"/>
    </row>
    <row r="18" spans="1:20" s="651" customFormat="1" ht="18.75" customHeight="1">
      <c r="A18" s="813">
        <v>8</v>
      </c>
      <c r="B18" s="667" t="s">
        <v>108</v>
      </c>
      <c r="C18" s="647">
        <f t="shared" si="5"/>
        <v>3328.9900000000002</v>
      </c>
      <c r="D18" s="668">
        <v>2.9699999999999998</v>
      </c>
      <c r="E18" s="668">
        <v>9.41</v>
      </c>
      <c r="F18" s="668">
        <v>22.740000000000002</v>
      </c>
      <c r="G18" s="668">
        <v>29.36</v>
      </c>
      <c r="H18" s="668">
        <v>70.55000000000001</v>
      </c>
      <c r="I18" s="668">
        <v>213.82999999999998</v>
      </c>
      <c r="J18" s="668">
        <v>226.12</v>
      </c>
      <c r="K18" s="668">
        <v>246.73</v>
      </c>
      <c r="L18" s="668">
        <v>300.51</v>
      </c>
      <c r="M18" s="668">
        <v>510.28</v>
      </c>
      <c r="N18" s="668">
        <v>759.89</v>
      </c>
      <c r="O18" s="668">
        <v>365.21000000000004</v>
      </c>
      <c r="P18" s="668">
        <v>206.55</v>
      </c>
      <c r="Q18" s="668">
        <v>52.19</v>
      </c>
      <c r="R18" s="669">
        <v>312.65000000000003</v>
      </c>
      <c r="S18" s="670">
        <v>8</v>
      </c>
      <c r="T18" s="650"/>
    </row>
    <row r="19" spans="1:20" s="651" customFormat="1" ht="18.75" customHeight="1">
      <c r="A19" s="813">
        <v>9</v>
      </c>
      <c r="B19" s="667" t="s">
        <v>109</v>
      </c>
      <c r="C19" s="647">
        <f t="shared" si="5"/>
        <v>59.5</v>
      </c>
      <c r="D19" s="668">
        <v>0</v>
      </c>
      <c r="E19" s="668">
        <v>0</v>
      </c>
      <c r="F19" s="668">
        <v>0</v>
      </c>
      <c r="G19" s="668">
        <v>0.09</v>
      </c>
      <c r="H19" s="668">
        <v>0.31000000000000005</v>
      </c>
      <c r="I19" s="668">
        <v>2.94</v>
      </c>
      <c r="J19" s="668">
        <v>0.55</v>
      </c>
      <c r="K19" s="668">
        <v>3.0100000000000002</v>
      </c>
      <c r="L19" s="668">
        <v>3.1399999999999997</v>
      </c>
      <c r="M19" s="668">
        <v>13.469999999999999</v>
      </c>
      <c r="N19" s="668">
        <v>16.91</v>
      </c>
      <c r="O19" s="668">
        <v>10.680000000000001</v>
      </c>
      <c r="P19" s="668">
        <v>3.7600000000000002</v>
      </c>
      <c r="Q19" s="668">
        <v>2.97</v>
      </c>
      <c r="R19" s="669">
        <v>1.67</v>
      </c>
      <c r="S19" s="670">
        <v>9</v>
      </c>
      <c r="T19" s="650"/>
    </row>
    <row r="20" spans="1:20" s="651" customFormat="1" ht="18.75" customHeight="1">
      <c r="A20" s="813">
        <v>10</v>
      </c>
      <c r="B20" s="667" t="s">
        <v>110</v>
      </c>
      <c r="C20" s="647">
        <f t="shared" si="5"/>
        <v>2973.2799999999993</v>
      </c>
      <c r="D20" s="668">
        <v>4.66</v>
      </c>
      <c r="E20" s="668">
        <v>85.29999999999998</v>
      </c>
      <c r="F20" s="668">
        <v>138.20999999999998</v>
      </c>
      <c r="G20" s="668">
        <v>223.75999999999996</v>
      </c>
      <c r="H20" s="668">
        <v>231.58</v>
      </c>
      <c r="I20" s="668">
        <v>147.39999999999998</v>
      </c>
      <c r="J20" s="668">
        <v>212.91</v>
      </c>
      <c r="K20" s="668">
        <v>248.01999999999998</v>
      </c>
      <c r="L20" s="668">
        <v>630.39</v>
      </c>
      <c r="M20" s="668">
        <v>487.89</v>
      </c>
      <c r="N20" s="668">
        <v>294.16</v>
      </c>
      <c r="O20" s="668">
        <v>122.43</v>
      </c>
      <c r="P20" s="668">
        <v>35.48</v>
      </c>
      <c r="Q20" s="668">
        <v>32.12</v>
      </c>
      <c r="R20" s="669">
        <v>78.97</v>
      </c>
      <c r="S20" s="670">
        <v>10</v>
      </c>
      <c r="T20" s="650"/>
    </row>
    <row r="21" spans="1:20" s="651" customFormat="1" ht="18.75" customHeight="1" thickBot="1">
      <c r="A21" s="814">
        <v>11</v>
      </c>
      <c r="B21" s="673" t="s">
        <v>293</v>
      </c>
      <c r="C21" s="647">
        <f t="shared" si="5"/>
        <v>7239.16</v>
      </c>
      <c r="D21" s="668">
        <v>41.620000000000005</v>
      </c>
      <c r="E21" s="668">
        <v>103.47</v>
      </c>
      <c r="F21" s="668">
        <v>95.63000000000001</v>
      </c>
      <c r="G21" s="668">
        <v>71.47999999999999</v>
      </c>
      <c r="H21" s="668">
        <v>74.31</v>
      </c>
      <c r="I21" s="668">
        <v>174.89000000000001</v>
      </c>
      <c r="J21" s="668">
        <v>293.1</v>
      </c>
      <c r="K21" s="668">
        <v>720.79</v>
      </c>
      <c r="L21" s="668">
        <v>1186.06</v>
      </c>
      <c r="M21" s="668">
        <v>1485.79</v>
      </c>
      <c r="N21" s="668">
        <v>1374</v>
      </c>
      <c r="O21" s="668">
        <v>739.63</v>
      </c>
      <c r="P21" s="668">
        <v>211.88</v>
      </c>
      <c r="Q21" s="668">
        <v>202.76999999999998</v>
      </c>
      <c r="R21" s="669">
        <v>463.74</v>
      </c>
      <c r="S21" s="674">
        <v>11</v>
      </c>
      <c r="T21" s="650"/>
    </row>
    <row r="22" spans="1:20" s="661" customFormat="1" ht="25.5" customHeight="1">
      <c r="A22" s="1088" t="s">
        <v>135</v>
      </c>
      <c r="B22" s="1089"/>
      <c r="C22" s="657">
        <f>+C23+C30</f>
        <v>27175</v>
      </c>
      <c r="D22" s="657">
        <f aca="true" t="shared" si="6" ref="D22:R22">+D23+D30</f>
        <v>146.4</v>
      </c>
      <c r="E22" s="657">
        <f t="shared" si="6"/>
        <v>407.08000000000004</v>
      </c>
      <c r="F22" s="657">
        <f t="shared" si="6"/>
        <v>600.8600000000001</v>
      </c>
      <c r="G22" s="657">
        <f t="shared" si="6"/>
        <v>824.48</v>
      </c>
      <c r="H22" s="657">
        <f t="shared" si="6"/>
        <v>940.8</v>
      </c>
      <c r="I22" s="657">
        <f t="shared" si="6"/>
        <v>1208.5700000000002</v>
      </c>
      <c r="J22" s="657">
        <f t="shared" si="6"/>
        <v>1893.1499999999999</v>
      </c>
      <c r="K22" s="657">
        <f t="shared" si="6"/>
        <v>3022.69</v>
      </c>
      <c r="L22" s="657">
        <f t="shared" si="6"/>
        <v>3956.83</v>
      </c>
      <c r="M22" s="657">
        <f t="shared" si="6"/>
        <v>4348.99</v>
      </c>
      <c r="N22" s="657">
        <f t="shared" si="6"/>
        <v>3700.96</v>
      </c>
      <c r="O22" s="657">
        <f t="shared" si="6"/>
        <v>2472.26</v>
      </c>
      <c r="P22" s="657">
        <f t="shared" si="6"/>
        <v>1096.81</v>
      </c>
      <c r="Q22" s="657">
        <f t="shared" si="6"/>
        <v>812.08</v>
      </c>
      <c r="R22" s="658">
        <f t="shared" si="6"/>
        <v>1742.6</v>
      </c>
      <c r="S22" s="663"/>
      <c r="T22" s="660"/>
    </row>
    <row r="23" spans="1:20" s="665" customFormat="1" ht="18.75" customHeight="1">
      <c r="A23" s="1086" t="s">
        <v>372</v>
      </c>
      <c r="B23" s="1087"/>
      <c r="C23" s="653">
        <v>11170</v>
      </c>
      <c r="D23" s="653">
        <f aca="true" t="shared" si="7" ref="D23:R23">SUM(D24:D29)</f>
        <v>53.68</v>
      </c>
      <c r="E23" s="653">
        <v>202</v>
      </c>
      <c r="F23" s="653">
        <f t="shared" si="7"/>
        <v>300.05000000000007</v>
      </c>
      <c r="G23" s="653">
        <f t="shared" si="7"/>
        <v>341.8</v>
      </c>
      <c r="H23" s="653">
        <f t="shared" si="7"/>
        <v>335.29999999999995</v>
      </c>
      <c r="I23" s="653">
        <v>409</v>
      </c>
      <c r="J23" s="653">
        <f t="shared" si="7"/>
        <v>579.3799999999999</v>
      </c>
      <c r="K23" s="653">
        <f t="shared" si="7"/>
        <v>848.6899999999999</v>
      </c>
      <c r="L23" s="653">
        <v>1274</v>
      </c>
      <c r="M23" s="653">
        <f t="shared" si="7"/>
        <v>1911.91</v>
      </c>
      <c r="N23" s="653">
        <f t="shared" si="7"/>
        <v>1826.4199999999998</v>
      </c>
      <c r="O23" s="653">
        <f t="shared" si="7"/>
        <v>1425.14</v>
      </c>
      <c r="P23" s="653">
        <f t="shared" si="7"/>
        <v>582.26</v>
      </c>
      <c r="Q23" s="653">
        <f t="shared" si="7"/>
        <v>355.54</v>
      </c>
      <c r="R23" s="662">
        <f t="shared" si="7"/>
        <v>725.2599999999999</v>
      </c>
      <c r="S23" s="663" t="s">
        <v>91</v>
      </c>
      <c r="T23" s="664"/>
    </row>
    <row r="24" spans="1:20" s="651" customFormat="1" ht="18.75" customHeight="1">
      <c r="A24" s="813">
        <v>12</v>
      </c>
      <c r="B24" s="667" t="s">
        <v>111</v>
      </c>
      <c r="C24" s="647">
        <f aca="true" t="shared" si="8" ref="C24:C29">SUM(D24:R24)</f>
        <v>3766.88</v>
      </c>
      <c r="D24" s="675">
        <f>5.44+2</f>
        <v>7.44</v>
      </c>
      <c r="E24" s="675">
        <f>15.93+39</f>
        <v>54.93</v>
      </c>
      <c r="F24" s="675">
        <f>83.35+47</f>
        <v>130.35</v>
      </c>
      <c r="G24" s="675">
        <f>131.2+46</f>
        <v>177.2</v>
      </c>
      <c r="H24" s="675">
        <f>47.84+67</f>
        <v>114.84</v>
      </c>
      <c r="I24" s="675">
        <f>74.81+58</f>
        <v>132.81</v>
      </c>
      <c r="J24" s="675">
        <f>86.32+57</f>
        <v>143.32</v>
      </c>
      <c r="K24" s="675">
        <f>81.79+99</f>
        <v>180.79000000000002</v>
      </c>
      <c r="L24" s="675">
        <f>137.68+114</f>
        <v>251.68</v>
      </c>
      <c r="M24" s="675">
        <f>193.39+190</f>
        <v>383.39</v>
      </c>
      <c r="N24" s="675">
        <f>323.52+318</f>
        <v>641.52</v>
      </c>
      <c r="O24" s="675">
        <f>334.42+393</f>
        <v>727.4200000000001</v>
      </c>
      <c r="P24" s="675">
        <f>135.36+156</f>
        <v>291.36</v>
      </c>
      <c r="Q24" s="675">
        <f>125.55+72</f>
        <v>197.55</v>
      </c>
      <c r="R24" s="676">
        <f>220.28+112</f>
        <v>332.28</v>
      </c>
      <c r="S24" s="670">
        <v>12</v>
      </c>
      <c r="T24" s="650"/>
    </row>
    <row r="25" spans="1:20" s="651" customFormat="1" ht="18.75" customHeight="1">
      <c r="A25" s="813">
        <v>13</v>
      </c>
      <c r="B25" s="667" t="s">
        <v>116</v>
      </c>
      <c r="C25" s="647">
        <f t="shared" si="8"/>
        <v>15.309999999999999</v>
      </c>
      <c r="D25" s="668">
        <v>0</v>
      </c>
      <c r="E25" s="668">
        <v>0</v>
      </c>
      <c r="F25" s="677">
        <v>0</v>
      </c>
      <c r="G25" s="668">
        <v>0.03</v>
      </c>
      <c r="H25" s="668">
        <v>0</v>
      </c>
      <c r="I25" s="677">
        <v>0</v>
      </c>
      <c r="J25" s="677">
        <v>0.1</v>
      </c>
      <c r="K25" s="677">
        <v>0.12</v>
      </c>
      <c r="L25" s="677">
        <v>0.74</v>
      </c>
      <c r="M25" s="677">
        <v>0.05</v>
      </c>
      <c r="N25" s="677">
        <v>9.18</v>
      </c>
      <c r="O25" s="668">
        <v>4.25</v>
      </c>
      <c r="P25" s="668">
        <v>0</v>
      </c>
      <c r="Q25" s="668">
        <v>0</v>
      </c>
      <c r="R25" s="678">
        <v>0.84</v>
      </c>
      <c r="S25" s="670">
        <v>13</v>
      </c>
      <c r="T25" s="650"/>
    </row>
    <row r="26" spans="1:20" s="651" customFormat="1" ht="18.75" customHeight="1">
      <c r="A26" s="813">
        <v>14</v>
      </c>
      <c r="B26" s="667" t="s">
        <v>119</v>
      </c>
      <c r="C26" s="647">
        <f t="shared" si="8"/>
        <v>6.390000000000001</v>
      </c>
      <c r="D26" s="668">
        <v>0</v>
      </c>
      <c r="E26" s="668">
        <v>0</v>
      </c>
      <c r="F26" s="668">
        <v>0</v>
      </c>
      <c r="G26" s="668">
        <v>0</v>
      </c>
      <c r="H26" s="677">
        <v>0</v>
      </c>
      <c r="I26" s="668">
        <v>0.57</v>
      </c>
      <c r="J26" s="668">
        <v>0</v>
      </c>
      <c r="K26" s="679">
        <v>0</v>
      </c>
      <c r="L26" s="679">
        <v>0.76</v>
      </c>
      <c r="M26" s="679">
        <v>0.08</v>
      </c>
      <c r="N26" s="677">
        <v>0.07</v>
      </c>
      <c r="O26" s="668">
        <v>4.91</v>
      </c>
      <c r="P26" s="668">
        <v>0</v>
      </c>
      <c r="Q26" s="668">
        <v>0</v>
      </c>
      <c r="R26" s="680">
        <v>0</v>
      </c>
      <c r="S26" s="670">
        <v>14</v>
      </c>
      <c r="T26" s="650"/>
    </row>
    <row r="27" spans="1:20" s="651" customFormat="1" ht="18.75" customHeight="1">
      <c r="A27" s="813">
        <v>15</v>
      </c>
      <c r="B27" s="667" t="s">
        <v>112</v>
      </c>
      <c r="C27" s="647">
        <f t="shared" si="8"/>
        <v>6570.02</v>
      </c>
      <c r="D27" s="675">
        <v>45.49</v>
      </c>
      <c r="E27" s="675">
        <v>135.82</v>
      </c>
      <c r="F27" s="675">
        <v>160.24</v>
      </c>
      <c r="G27" s="675">
        <v>156.29</v>
      </c>
      <c r="H27" s="675">
        <v>205.23</v>
      </c>
      <c r="I27" s="675">
        <v>260.54</v>
      </c>
      <c r="J27" s="675">
        <v>405.39</v>
      </c>
      <c r="K27" s="675">
        <v>618.11</v>
      </c>
      <c r="L27" s="675">
        <v>889</v>
      </c>
      <c r="M27" s="675">
        <v>1270.68</v>
      </c>
      <c r="N27" s="675">
        <v>1019.8</v>
      </c>
      <c r="O27" s="675">
        <v>630.94</v>
      </c>
      <c r="P27" s="675">
        <v>270.16</v>
      </c>
      <c r="Q27" s="675">
        <v>149.88</v>
      </c>
      <c r="R27" s="676">
        <v>352.45</v>
      </c>
      <c r="S27" s="670">
        <v>15</v>
      </c>
      <c r="T27" s="650"/>
    </row>
    <row r="28" spans="1:20" s="651" customFormat="1" ht="18.75" customHeight="1">
      <c r="A28" s="813">
        <v>16</v>
      </c>
      <c r="B28" s="667" t="s">
        <v>113</v>
      </c>
      <c r="C28" s="647">
        <f t="shared" si="8"/>
        <v>601.0500000000001</v>
      </c>
      <c r="D28" s="675">
        <v>0.49</v>
      </c>
      <c r="E28" s="675">
        <v>9.87</v>
      </c>
      <c r="F28" s="675">
        <v>8.97</v>
      </c>
      <c r="G28" s="675">
        <v>7.47</v>
      </c>
      <c r="H28" s="675">
        <v>11.89</v>
      </c>
      <c r="I28" s="675">
        <v>8.36</v>
      </c>
      <c r="J28" s="675">
        <v>23.15</v>
      </c>
      <c r="K28" s="675">
        <v>39.89</v>
      </c>
      <c r="L28" s="675">
        <v>93.03</v>
      </c>
      <c r="M28" s="675">
        <v>182.37</v>
      </c>
      <c r="N28" s="675">
        <v>122.98</v>
      </c>
      <c r="O28" s="675">
        <v>42.45</v>
      </c>
      <c r="P28" s="675">
        <v>13.44</v>
      </c>
      <c r="Q28" s="675">
        <v>6.54</v>
      </c>
      <c r="R28" s="676">
        <v>30.15</v>
      </c>
      <c r="S28" s="670">
        <v>16</v>
      </c>
      <c r="T28" s="650"/>
    </row>
    <row r="29" spans="1:20" s="651" customFormat="1" ht="18.75" customHeight="1">
      <c r="A29" s="813">
        <v>17</v>
      </c>
      <c r="B29" s="667" t="s">
        <v>114</v>
      </c>
      <c r="C29" s="647">
        <f t="shared" si="8"/>
        <v>209.6</v>
      </c>
      <c r="D29" s="675">
        <v>0.26</v>
      </c>
      <c r="E29" s="675">
        <v>0.47</v>
      </c>
      <c r="F29" s="675">
        <v>0.49</v>
      </c>
      <c r="G29" s="675">
        <v>0.81</v>
      </c>
      <c r="H29" s="675">
        <v>3.34</v>
      </c>
      <c r="I29" s="675">
        <v>5.93</v>
      </c>
      <c r="J29" s="675">
        <v>7.42</v>
      </c>
      <c r="K29" s="675">
        <v>9.78</v>
      </c>
      <c r="L29" s="675">
        <v>39.31</v>
      </c>
      <c r="M29" s="675">
        <v>75.34</v>
      </c>
      <c r="N29" s="675">
        <v>32.87</v>
      </c>
      <c r="O29" s="675">
        <v>15.17</v>
      </c>
      <c r="P29" s="675">
        <v>7.3</v>
      </c>
      <c r="Q29" s="675">
        <v>1.57</v>
      </c>
      <c r="R29" s="676">
        <v>9.54</v>
      </c>
      <c r="S29" s="670">
        <v>17</v>
      </c>
      <c r="T29" s="650"/>
    </row>
    <row r="30" spans="1:20" s="665" customFormat="1" ht="18.75" customHeight="1">
      <c r="A30" s="1086" t="s">
        <v>370</v>
      </c>
      <c r="B30" s="1087"/>
      <c r="C30" s="653">
        <v>16005</v>
      </c>
      <c r="D30" s="653">
        <f aca="true" t="shared" si="9" ref="D30:R30">SUM(D31:D39)</f>
        <v>92.72</v>
      </c>
      <c r="E30" s="653">
        <f t="shared" si="9"/>
        <v>205.08</v>
      </c>
      <c r="F30" s="653">
        <f t="shared" si="9"/>
        <v>300.81</v>
      </c>
      <c r="G30" s="653">
        <f t="shared" si="9"/>
        <v>482.68</v>
      </c>
      <c r="H30" s="653">
        <f t="shared" si="9"/>
        <v>605.5</v>
      </c>
      <c r="I30" s="653">
        <f t="shared" si="9"/>
        <v>799.57</v>
      </c>
      <c r="J30" s="653">
        <f t="shared" si="9"/>
        <v>1313.77</v>
      </c>
      <c r="K30" s="653">
        <f t="shared" si="9"/>
        <v>2174</v>
      </c>
      <c r="L30" s="653">
        <f t="shared" si="9"/>
        <v>2682.83</v>
      </c>
      <c r="M30" s="653">
        <f t="shared" si="9"/>
        <v>2437.08</v>
      </c>
      <c r="N30" s="653">
        <f t="shared" si="9"/>
        <v>1874.54</v>
      </c>
      <c r="O30" s="653">
        <f t="shared" si="9"/>
        <v>1047.12</v>
      </c>
      <c r="P30" s="653">
        <f t="shared" si="9"/>
        <v>514.55</v>
      </c>
      <c r="Q30" s="653">
        <f t="shared" si="9"/>
        <v>456.54</v>
      </c>
      <c r="R30" s="662">
        <f t="shared" si="9"/>
        <v>1017.3399999999999</v>
      </c>
      <c r="S30" s="663"/>
      <c r="T30" s="664"/>
    </row>
    <row r="31" spans="1:20" s="651" customFormat="1" ht="18.75" customHeight="1">
      <c r="A31" s="813">
        <v>18</v>
      </c>
      <c r="B31" s="667" t="s">
        <v>117</v>
      </c>
      <c r="C31" s="647">
        <f aca="true" t="shared" si="10" ref="C31:C37">SUM(D31:R31)</f>
        <v>416.06000000000006</v>
      </c>
      <c r="D31" s="679">
        <v>0</v>
      </c>
      <c r="E31" s="679">
        <v>2.62</v>
      </c>
      <c r="F31" s="679">
        <v>0.11</v>
      </c>
      <c r="G31" s="679">
        <v>5.15</v>
      </c>
      <c r="H31" s="679">
        <v>2.14</v>
      </c>
      <c r="I31" s="679">
        <v>16.85</v>
      </c>
      <c r="J31" s="679">
        <v>9.42</v>
      </c>
      <c r="K31" s="679">
        <v>17.23</v>
      </c>
      <c r="L31" s="679">
        <v>30.57</v>
      </c>
      <c r="M31" s="679">
        <v>39.1</v>
      </c>
      <c r="N31" s="679">
        <v>31.96</v>
      </c>
      <c r="O31" s="679">
        <v>65.89</v>
      </c>
      <c r="P31" s="679">
        <v>33.75</v>
      </c>
      <c r="Q31" s="679">
        <v>34.62</v>
      </c>
      <c r="R31" s="678">
        <v>126.65</v>
      </c>
      <c r="S31" s="681">
        <v>18</v>
      </c>
      <c r="T31" s="650"/>
    </row>
    <row r="32" spans="1:20" s="651" customFormat="1" ht="18.75" customHeight="1">
      <c r="A32" s="813">
        <v>19</v>
      </c>
      <c r="B32" s="667" t="s">
        <v>118</v>
      </c>
      <c r="C32" s="647">
        <f t="shared" si="10"/>
        <v>30.900000000000002</v>
      </c>
      <c r="D32" s="677">
        <v>0</v>
      </c>
      <c r="E32" s="677">
        <v>0</v>
      </c>
      <c r="F32" s="677">
        <v>0</v>
      </c>
      <c r="G32" s="677">
        <v>0</v>
      </c>
      <c r="H32" s="677">
        <v>0</v>
      </c>
      <c r="I32" s="677">
        <v>0</v>
      </c>
      <c r="J32" s="677">
        <v>0</v>
      </c>
      <c r="K32" s="679">
        <v>0</v>
      </c>
      <c r="L32" s="679">
        <v>1.63</v>
      </c>
      <c r="M32" s="679">
        <v>0.04</v>
      </c>
      <c r="N32" s="679">
        <v>1.07</v>
      </c>
      <c r="O32" s="679">
        <v>9.34</v>
      </c>
      <c r="P32" s="679">
        <v>1.17</v>
      </c>
      <c r="Q32" s="679">
        <v>7.17</v>
      </c>
      <c r="R32" s="678">
        <v>10.48</v>
      </c>
      <c r="S32" s="681">
        <v>19</v>
      </c>
      <c r="T32" s="650"/>
    </row>
    <row r="33" spans="1:20" s="651" customFormat="1" ht="18.75" customHeight="1">
      <c r="A33" s="813">
        <v>20</v>
      </c>
      <c r="B33" s="667" t="s">
        <v>120</v>
      </c>
      <c r="C33" s="647">
        <f t="shared" si="10"/>
        <v>0.21</v>
      </c>
      <c r="D33" s="677">
        <v>0</v>
      </c>
      <c r="E33" s="677">
        <v>0</v>
      </c>
      <c r="F33" s="677">
        <v>0</v>
      </c>
      <c r="G33" s="677">
        <v>0</v>
      </c>
      <c r="H33" s="677">
        <v>0</v>
      </c>
      <c r="I33" s="677">
        <v>0</v>
      </c>
      <c r="J33" s="677">
        <v>0.21</v>
      </c>
      <c r="K33" s="677">
        <v>0</v>
      </c>
      <c r="L33" s="677">
        <v>0</v>
      </c>
      <c r="M33" s="677">
        <v>0</v>
      </c>
      <c r="N33" s="677">
        <v>0</v>
      </c>
      <c r="O33" s="677">
        <v>0</v>
      </c>
      <c r="P33" s="677">
        <v>0</v>
      </c>
      <c r="Q33" s="677">
        <v>0</v>
      </c>
      <c r="R33" s="682">
        <v>0</v>
      </c>
      <c r="S33" s="681">
        <v>20</v>
      </c>
      <c r="T33" s="650"/>
    </row>
    <row r="34" spans="1:20" s="651" customFormat="1" ht="18.75" customHeight="1">
      <c r="A34" s="813">
        <v>21</v>
      </c>
      <c r="B34" s="667" t="s">
        <v>136</v>
      </c>
      <c r="C34" s="647">
        <f t="shared" si="10"/>
        <v>0.37</v>
      </c>
      <c r="D34" s="677">
        <v>0</v>
      </c>
      <c r="E34" s="677">
        <v>0</v>
      </c>
      <c r="F34" s="677">
        <v>0</v>
      </c>
      <c r="G34" s="677">
        <v>0</v>
      </c>
      <c r="H34" s="677">
        <v>0</v>
      </c>
      <c r="I34" s="677">
        <v>0</v>
      </c>
      <c r="J34" s="677">
        <v>0</v>
      </c>
      <c r="K34" s="677">
        <v>0</v>
      </c>
      <c r="L34" s="677">
        <v>0</v>
      </c>
      <c r="M34" s="677">
        <v>0</v>
      </c>
      <c r="N34" s="683">
        <v>0</v>
      </c>
      <c r="O34" s="677">
        <v>0.24</v>
      </c>
      <c r="P34" s="683">
        <v>0</v>
      </c>
      <c r="Q34" s="677">
        <v>0.03</v>
      </c>
      <c r="R34" s="684">
        <v>0.1</v>
      </c>
      <c r="S34" s="681">
        <v>21</v>
      </c>
      <c r="T34" s="650"/>
    </row>
    <row r="35" spans="1:20" s="651" customFormat="1" ht="18.75" customHeight="1">
      <c r="A35" s="813">
        <v>22</v>
      </c>
      <c r="B35" s="667" t="s">
        <v>121</v>
      </c>
      <c r="C35" s="647">
        <f t="shared" si="10"/>
        <v>23.14</v>
      </c>
      <c r="D35" s="677">
        <v>0</v>
      </c>
      <c r="E35" s="677">
        <v>0</v>
      </c>
      <c r="F35" s="677">
        <v>0</v>
      </c>
      <c r="G35" s="677">
        <v>0</v>
      </c>
      <c r="H35" s="677">
        <v>0</v>
      </c>
      <c r="I35" s="677">
        <v>0</v>
      </c>
      <c r="J35" s="685">
        <v>0</v>
      </c>
      <c r="K35" s="685">
        <v>0.2</v>
      </c>
      <c r="L35" s="685">
        <v>0.44</v>
      </c>
      <c r="M35" s="685">
        <v>1.55</v>
      </c>
      <c r="N35" s="685">
        <v>2.72</v>
      </c>
      <c r="O35" s="685">
        <v>7.33</v>
      </c>
      <c r="P35" s="685">
        <v>0.38</v>
      </c>
      <c r="Q35" s="685">
        <v>0.37</v>
      </c>
      <c r="R35" s="684">
        <v>10.15</v>
      </c>
      <c r="S35" s="681">
        <v>22</v>
      </c>
      <c r="T35" s="650"/>
    </row>
    <row r="36" spans="1:20" s="651" customFormat="1" ht="18.75" customHeight="1">
      <c r="A36" s="813">
        <v>23</v>
      </c>
      <c r="B36" s="667" t="s">
        <v>122</v>
      </c>
      <c r="C36" s="647">
        <f t="shared" si="10"/>
        <v>0.41000000000000003</v>
      </c>
      <c r="D36" s="677">
        <v>0</v>
      </c>
      <c r="E36" s="677">
        <v>0</v>
      </c>
      <c r="F36" s="677">
        <v>0</v>
      </c>
      <c r="G36" s="677">
        <v>0</v>
      </c>
      <c r="H36" s="677">
        <v>0</v>
      </c>
      <c r="I36" s="683">
        <v>0</v>
      </c>
      <c r="J36" s="677">
        <v>0.02</v>
      </c>
      <c r="K36" s="677">
        <v>0</v>
      </c>
      <c r="L36" s="677">
        <v>0</v>
      </c>
      <c r="M36" s="683">
        <v>0</v>
      </c>
      <c r="N36" s="677">
        <v>0.08</v>
      </c>
      <c r="O36" s="677">
        <v>0</v>
      </c>
      <c r="P36" s="677">
        <v>0</v>
      </c>
      <c r="Q36" s="677">
        <v>0</v>
      </c>
      <c r="R36" s="684">
        <v>0.31</v>
      </c>
      <c r="S36" s="681">
        <v>23</v>
      </c>
      <c r="T36" s="650"/>
    </row>
    <row r="37" spans="1:20" s="651" customFormat="1" ht="18.75" customHeight="1">
      <c r="A37" s="813">
        <v>24</v>
      </c>
      <c r="B37" s="667" t="s">
        <v>123</v>
      </c>
      <c r="C37" s="647">
        <f t="shared" si="10"/>
        <v>31.110000000000003</v>
      </c>
      <c r="D37" s="677">
        <v>0</v>
      </c>
      <c r="E37" s="677">
        <v>0</v>
      </c>
      <c r="F37" s="677">
        <v>0</v>
      </c>
      <c r="G37" s="677">
        <v>0</v>
      </c>
      <c r="H37" s="677">
        <v>0</v>
      </c>
      <c r="I37" s="677">
        <v>0</v>
      </c>
      <c r="J37" s="685">
        <v>0</v>
      </c>
      <c r="K37" s="685">
        <v>0.25</v>
      </c>
      <c r="L37" s="685">
        <v>0.77</v>
      </c>
      <c r="M37" s="685">
        <v>2.91</v>
      </c>
      <c r="N37" s="685">
        <v>2.79</v>
      </c>
      <c r="O37" s="685">
        <v>5.5</v>
      </c>
      <c r="P37" s="685">
        <v>6.52</v>
      </c>
      <c r="Q37" s="685">
        <v>1.16</v>
      </c>
      <c r="R37" s="684">
        <v>11.21</v>
      </c>
      <c r="S37" s="681">
        <v>24</v>
      </c>
      <c r="T37" s="650"/>
    </row>
    <row r="38" spans="1:20" s="651" customFormat="1" ht="18.75" customHeight="1">
      <c r="A38" s="813">
        <v>25</v>
      </c>
      <c r="B38" s="667" t="s">
        <v>115</v>
      </c>
      <c r="C38" s="647">
        <f>SUM(D38:R38)</f>
        <v>8427.99</v>
      </c>
      <c r="D38" s="679">
        <v>57.66</v>
      </c>
      <c r="E38" s="679">
        <v>128.46</v>
      </c>
      <c r="F38" s="679">
        <v>173.74</v>
      </c>
      <c r="G38" s="679">
        <v>248.71</v>
      </c>
      <c r="H38" s="679">
        <v>312.38</v>
      </c>
      <c r="I38" s="679">
        <v>355.25</v>
      </c>
      <c r="J38" s="679">
        <v>569.25</v>
      </c>
      <c r="K38" s="679">
        <v>1018.89</v>
      </c>
      <c r="L38" s="679">
        <v>1513.72</v>
      </c>
      <c r="M38" s="679">
        <v>1396.9</v>
      </c>
      <c r="N38" s="679">
        <v>1067.59</v>
      </c>
      <c r="O38" s="679">
        <v>531.79</v>
      </c>
      <c r="P38" s="679">
        <v>318.77</v>
      </c>
      <c r="Q38" s="679">
        <v>274.25</v>
      </c>
      <c r="R38" s="678">
        <v>460.63</v>
      </c>
      <c r="S38" s="670">
        <v>25</v>
      </c>
      <c r="T38" s="650"/>
    </row>
    <row r="39" spans="1:20" s="651" customFormat="1" ht="18.75" customHeight="1" thickBot="1">
      <c r="A39" s="813">
        <v>26</v>
      </c>
      <c r="B39" s="667" t="s">
        <v>178</v>
      </c>
      <c r="C39" s="647">
        <f>SUM(D39:R39)</f>
        <v>7073.94</v>
      </c>
      <c r="D39" s="679">
        <v>35.06</v>
      </c>
      <c r="E39" s="679">
        <v>74</v>
      </c>
      <c r="F39" s="679">
        <v>126.96</v>
      </c>
      <c r="G39" s="679">
        <v>228.82</v>
      </c>
      <c r="H39" s="679">
        <v>290.98</v>
      </c>
      <c r="I39" s="679">
        <v>427.47</v>
      </c>
      <c r="J39" s="679">
        <v>734.87</v>
      </c>
      <c r="K39" s="679">
        <v>1137.43</v>
      </c>
      <c r="L39" s="679">
        <v>1135.7</v>
      </c>
      <c r="M39" s="679">
        <v>996.58</v>
      </c>
      <c r="N39" s="679">
        <v>768.33</v>
      </c>
      <c r="O39" s="679">
        <v>427.03</v>
      </c>
      <c r="P39" s="679">
        <v>153.96</v>
      </c>
      <c r="Q39" s="679">
        <v>138.94</v>
      </c>
      <c r="R39" s="678">
        <v>397.81</v>
      </c>
      <c r="S39" s="674">
        <v>26</v>
      </c>
      <c r="T39" s="650"/>
    </row>
    <row r="40" spans="1:20" s="661" customFormat="1" ht="25.5" customHeight="1">
      <c r="A40" s="1090" t="s">
        <v>87</v>
      </c>
      <c r="B40" s="1091"/>
      <c r="C40" s="657">
        <f aca="true" t="shared" si="11" ref="C40:R40">+C41+C44+C48</f>
        <v>44450</v>
      </c>
      <c r="D40" s="657">
        <f t="shared" si="11"/>
        <v>102.54</v>
      </c>
      <c r="E40" s="657">
        <f t="shared" si="11"/>
        <v>342.58000000000004</v>
      </c>
      <c r="F40" s="657">
        <f t="shared" si="11"/>
        <v>627.73</v>
      </c>
      <c r="G40" s="657">
        <f t="shared" si="11"/>
        <v>974.0400000000001</v>
      </c>
      <c r="H40" s="657">
        <f t="shared" si="11"/>
        <v>1064.13</v>
      </c>
      <c r="I40" s="657">
        <f t="shared" si="11"/>
        <v>1654</v>
      </c>
      <c r="J40" s="657">
        <f t="shared" si="11"/>
        <v>2080.69</v>
      </c>
      <c r="K40" s="657">
        <f t="shared" si="11"/>
        <v>3583.2200000000003</v>
      </c>
      <c r="L40" s="657">
        <f t="shared" si="11"/>
        <v>5525.56</v>
      </c>
      <c r="M40" s="657">
        <f t="shared" si="11"/>
        <v>7866.07</v>
      </c>
      <c r="N40" s="657">
        <f t="shared" si="11"/>
        <v>7379.6900000000005</v>
      </c>
      <c r="O40" s="657">
        <f t="shared" si="11"/>
        <v>6375.17</v>
      </c>
      <c r="P40" s="657">
        <f t="shared" si="11"/>
        <v>2179.21</v>
      </c>
      <c r="Q40" s="657">
        <f t="shared" si="11"/>
        <v>1516.88</v>
      </c>
      <c r="R40" s="658">
        <f t="shared" si="11"/>
        <v>3178.4900000000002</v>
      </c>
      <c r="S40" s="663"/>
      <c r="T40" s="660"/>
    </row>
    <row r="41" spans="1:20" s="665" customFormat="1" ht="18.75" customHeight="1">
      <c r="A41" s="1086" t="s">
        <v>379</v>
      </c>
      <c r="B41" s="1087"/>
      <c r="C41" s="653">
        <f aca="true" t="shared" si="12" ref="C41:R41">SUM(C42:C43)</f>
        <v>14184.16</v>
      </c>
      <c r="D41" s="653">
        <f t="shared" si="12"/>
        <v>47.72</v>
      </c>
      <c r="E41" s="653">
        <f t="shared" si="12"/>
        <v>136.16</v>
      </c>
      <c r="F41" s="653">
        <f t="shared" si="12"/>
        <v>252.71</v>
      </c>
      <c r="G41" s="653">
        <f t="shared" si="12"/>
        <v>386.21000000000004</v>
      </c>
      <c r="H41" s="653">
        <f t="shared" si="12"/>
        <v>340.20000000000005</v>
      </c>
      <c r="I41" s="653">
        <f t="shared" si="12"/>
        <v>417.54</v>
      </c>
      <c r="J41" s="653">
        <f t="shared" si="12"/>
        <v>577.1600000000001</v>
      </c>
      <c r="K41" s="653">
        <f t="shared" si="12"/>
        <v>965.72</v>
      </c>
      <c r="L41" s="653">
        <f t="shared" si="12"/>
        <v>1811.6999999999998</v>
      </c>
      <c r="M41" s="653">
        <f t="shared" si="12"/>
        <v>2442.37</v>
      </c>
      <c r="N41" s="653">
        <f t="shared" si="12"/>
        <v>2235.4300000000003</v>
      </c>
      <c r="O41" s="653">
        <f t="shared" si="12"/>
        <v>1973.93</v>
      </c>
      <c r="P41" s="653">
        <f t="shared" si="12"/>
        <v>746.54</v>
      </c>
      <c r="Q41" s="653">
        <f t="shared" si="12"/>
        <v>564.92</v>
      </c>
      <c r="R41" s="662">
        <f t="shared" si="12"/>
        <v>1285.8500000000001</v>
      </c>
      <c r="S41" s="663"/>
      <c r="T41" s="664"/>
    </row>
    <row r="42" spans="1:19" s="650" customFormat="1" ht="18.75" customHeight="1">
      <c r="A42" s="813">
        <v>27</v>
      </c>
      <c r="B42" s="667" t="s">
        <v>124</v>
      </c>
      <c r="C42" s="647">
        <f>SUM(D42:R42)</f>
        <v>9291.710000000001</v>
      </c>
      <c r="D42" s="686">
        <v>29.72</v>
      </c>
      <c r="E42" s="668">
        <v>61.32</v>
      </c>
      <c r="F42" s="668">
        <v>153.84</v>
      </c>
      <c r="G42" s="668">
        <v>238.8</v>
      </c>
      <c r="H42" s="668">
        <v>264.61</v>
      </c>
      <c r="I42" s="668">
        <v>307.8</v>
      </c>
      <c r="J42" s="668">
        <v>395.1</v>
      </c>
      <c r="K42" s="668">
        <v>627.54</v>
      </c>
      <c r="L42" s="668">
        <v>1171.53</v>
      </c>
      <c r="M42" s="668">
        <v>1594.23</v>
      </c>
      <c r="N42" s="668">
        <v>1459.19</v>
      </c>
      <c r="O42" s="668">
        <v>1194.42</v>
      </c>
      <c r="P42" s="668">
        <v>501.41</v>
      </c>
      <c r="Q42" s="668">
        <v>360.26</v>
      </c>
      <c r="R42" s="669">
        <v>931.94</v>
      </c>
      <c r="S42" s="670">
        <v>27</v>
      </c>
    </row>
    <row r="43" spans="1:19" s="650" customFormat="1" ht="18.75" customHeight="1">
      <c r="A43" s="813">
        <v>28</v>
      </c>
      <c r="B43" s="667" t="s">
        <v>125</v>
      </c>
      <c r="C43" s="647">
        <f>SUM(D43:R43)</f>
        <v>4892.45</v>
      </c>
      <c r="D43" s="668">
        <v>18</v>
      </c>
      <c r="E43" s="668">
        <v>74.84</v>
      </c>
      <c r="F43" s="668">
        <v>98.87</v>
      </c>
      <c r="G43" s="668">
        <v>147.41</v>
      </c>
      <c r="H43" s="668">
        <v>75.59</v>
      </c>
      <c r="I43" s="668">
        <v>109.74</v>
      </c>
      <c r="J43" s="668">
        <v>182.06</v>
      </c>
      <c r="K43" s="668">
        <v>338.18</v>
      </c>
      <c r="L43" s="668">
        <v>640.17</v>
      </c>
      <c r="M43" s="668">
        <v>848.14</v>
      </c>
      <c r="N43" s="668">
        <v>776.24</v>
      </c>
      <c r="O43" s="668">
        <v>779.51</v>
      </c>
      <c r="P43" s="668">
        <v>245.13</v>
      </c>
      <c r="Q43" s="668">
        <v>204.66</v>
      </c>
      <c r="R43" s="669">
        <v>353.91</v>
      </c>
      <c r="S43" s="670">
        <v>28</v>
      </c>
    </row>
    <row r="44" spans="1:19" s="664" customFormat="1" ht="18.75" customHeight="1">
      <c r="A44" s="1086" t="s">
        <v>373</v>
      </c>
      <c r="B44" s="1087"/>
      <c r="C44" s="653">
        <f aca="true" t="shared" si="13" ref="C44:R44">SUM(C45:C47)</f>
        <v>15400.1</v>
      </c>
      <c r="D44" s="653">
        <f t="shared" si="13"/>
        <v>41.06</v>
      </c>
      <c r="E44" s="653">
        <f t="shared" si="13"/>
        <v>101.14999999999999</v>
      </c>
      <c r="F44" s="653">
        <f t="shared" si="13"/>
        <v>208.29000000000002</v>
      </c>
      <c r="G44" s="653">
        <f t="shared" si="13"/>
        <v>328.84000000000003</v>
      </c>
      <c r="H44" s="653">
        <f t="shared" si="13"/>
        <v>410.88</v>
      </c>
      <c r="I44" s="653">
        <f t="shared" si="13"/>
        <v>657.1199999999999</v>
      </c>
      <c r="J44" s="653">
        <f t="shared" si="13"/>
        <v>813.4100000000001</v>
      </c>
      <c r="K44" s="653">
        <f t="shared" si="13"/>
        <v>1467.93</v>
      </c>
      <c r="L44" s="653">
        <f t="shared" si="13"/>
        <v>1995.8000000000002</v>
      </c>
      <c r="M44" s="653">
        <f t="shared" si="13"/>
        <v>2758.04</v>
      </c>
      <c r="N44" s="653">
        <f t="shared" si="13"/>
        <v>2545.67</v>
      </c>
      <c r="O44" s="653">
        <f t="shared" si="13"/>
        <v>2132.4700000000003</v>
      </c>
      <c r="P44" s="653">
        <f t="shared" si="13"/>
        <v>684.94</v>
      </c>
      <c r="Q44" s="653">
        <f t="shared" si="13"/>
        <v>432.88000000000005</v>
      </c>
      <c r="R44" s="662">
        <f t="shared" si="13"/>
        <v>821.62</v>
      </c>
      <c r="S44" s="663"/>
    </row>
    <row r="45" spans="1:19" s="650" customFormat="1" ht="18.75" customHeight="1">
      <c r="A45" s="813">
        <v>29</v>
      </c>
      <c r="B45" s="667" t="s">
        <v>126</v>
      </c>
      <c r="C45" s="647">
        <f>SUM(D45:R45)</f>
        <v>7001.239999999999</v>
      </c>
      <c r="D45" s="668">
        <v>6.81</v>
      </c>
      <c r="E45" s="668">
        <v>32.97</v>
      </c>
      <c r="F45" s="668">
        <v>85.05</v>
      </c>
      <c r="G45" s="668">
        <v>76.3</v>
      </c>
      <c r="H45" s="668">
        <v>84.12</v>
      </c>
      <c r="I45" s="668">
        <v>175.01</v>
      </c>
      <c r="J45" s="668">
        <v>183.92</v>
      </c>
      <c r="K45" s="668">
        <v>557.54</v>
      </c>
      <c r="L45" s="668">
        <v>771.03</v>
      </c>
      <c r="M45" s="668">
        <v>1415.54</v>
      </c>
      <c r="N45" s="668">
        <v>1114.77</v>
      </c>
      <c r="O45" s="668">
        <v>1204.15</v>
      </c>
      <c r="P45" s="668">
        <v>456.78</v>
      </c>
      <c r="Q45" s="668">
        <v>290.72</v>
      </c>
      <c r="R45" s="669">
        <v>546.53</v>
      </c>
      <c r="S45" s="670">
        <v>29</v>
      </c>
    </row>
    <row r="46" spans="1:19" s="650" customFormat="1" ht="18.75" customHeight="1">
      <c r="A46" s="813">
        <v>30</v>
      </c>
      <c r="B46" s="667" t="s">
        <v>127</v>
      </c>
      <c r="C46" s="647">
        <f>SUM(D46:R46)</f>
        <v>3665.1600000000003</v>
      </c>
      <c r="D46" s="668">
        <v>0</v>
      </c>
      <c r="E46" s="668">
        <v>1.8</v>
      </c>
      <c r="F46" s="668">
        <v>10.73</v>
      </c>
      <c r="G46" s="668">
        <v>55.25</v>
      </c>
      <c r="H46" s="668">
        <v>99.28</v>
      </c>
      <c r="I46" s="668">
        <v>196.91</v>
      </c>
      <c r="J46" s="668">
        <v>273.54</v>
      </c>
      <c r="K46" s="668">
        <v>492.71</v>
      </c>
      <c r="L46" s="668">
        <v>834.91</v>
      </c>
      <c r="M46" s="668">
        <v>724.17</v>
      </c>
      <c r="N46" s="668">
        <v>621.91</v>
      </c>
      <c r="O46" s="668">
        <v>249.3</v>
      </c>
      <c r="P46" s="668">
        <v>36.86</v>
      </c>
      <c r="Q46" s="668">
        <v>14.16</v>
      </c>
      <c r="R46" s="669">
        <v>53.63</v>
      </c>
      <c r="S46" s="670">
        <v>30</v>
      </c>
    </row>
    <row r="47" spans="1:19" s="650" customFormat="1" ht="18.75" customHeight="1">
      <c r="A47" s="813">
        <v>31</v>
      </c>
      <c r="B47" s="667" t="s">
        <v>137</v>
      </c>
      <c r="C47" s="647">
        <f>SUM(D47:R47)</f>
        <v>4733.700000000001</v>
      </c>
      <c r="D47" s="668">
        <v>34.25</v>
      </c>
      <c r="E47" s="668">
        <v>66.38</v>
      </c>
      <c r="F47" s="668">
        <v>112.51</v>
      </c>
      <c r="G47" s="668">
        <v>197.29</v>
      </c>
      <c r="H47" s="668">
        <v>227.48</v>
      </c>
      <c r="I47" s="668">
        <v>285.2</v>
      </c>
      <c r="J47" s="668">
        <v>355.95</v>
      </c>
      <c r="K47" s="668">
        <v>417.68</v>
      </c>
      <c r="L47" s="668">
        <v>389.86</v>
      </c>
      <c r="M47" s="668">
        <v>618.33</v>
      </c>
      <c r="N47" s="668">
        <v>808.99</v>
      </c>
      <c r="O47" s="668">
        <v>679.02</v>
      </c>
      <c r="P47" s="668">
        <v>191.3</v>
      </c>
      <c r="Q47" s="668">
        <v>128</v>
      </c>
      <c r="R47" s="669">
        <v>221.46</v>
      </c>
      <c r="S47" s="670">
        <v>31</v>
      </c>
    </row>
    <row r="48" spans="1:19" s="664" customFormat="1" ht="18.75" customHeight="1">
      <c r="A48" s="1086" t="s">
        <v>374</v>
      </c>
      <c r="B48" s="1087"/>
      <c r="C48" s="653">
        <f aca="true" t="shared" si="14" ref="C48:R48">SUM(C49:C52)</f>
        <v>14865.74</v>
      </c>
      <c r="D48" s="653">
        <f t="shared" si="14"/>
        <v>13.76</v>
      </c>
      <c r="E48" s="653">
        <f t="shared" si="14"/>
        <v>105.27000000000001</v>
      </c>
      <c r="F48" s="653">
        <f t="shared" si="14"/>
        <v>166.73000000000002</v>
      </c>
      <c r="G48" s="653">
        <f t="shared" si="14"/>
        <v>258.99</v>
      </c>
      <c r="H48" s="653">
        <f t="shared" si="14"/>
        <v>313.05</v>
      </c>
      <c r="I48" s="653">
        <f t="shared" si="14"/>
        <v>579.34</v>
      </c>
      <c r="J48" s="653">
        <f t="shared" si="14"/>
        <v>690.12</v>
      </c>
      <c r="K48" s="653">
        <f t="shared" si="14"/>
        <v>1149.57</v>
      </c>
      <c r="L48" s="653">
        <f t="shared" si="14"/>
        <v>1718.0600000000002</v>
      </c>
      <c r="M48" s="653">
        <f t="shared" si="14"/>
        <v>2665.6600000000003</v>
      </c>
      <c r="N48" s="653">
        <f t="shared" si="14"/>
        <v>2598.59</v>
      </c>
      <c r="O48" s="653">
        <f t="shared" si="14"/>
        <v>2268.77</v>
      </c>
      <c r="P48" s="653">
        <f t="shared" si="14"/>
        <v>747.73</v>
      </c>
      <c r="Q48" s="653">
        <f t="shared" si="14"/>
        <v>519.08</v>
      </c>
      <c r="R48" s="662">
        <f t="shared" si="14"/>
        <v>1071.02</v>
      </c>
      <c r="S48" s="663"/>
    </row>
    <row r="49" spans="1:19" s="650" customFormat="1" ht="18.75" customHeight="1">
      <c r="A49" s="813">
        <v>32</v>
      </c>
      <c r="B49" s="667" t="s">
        <v>128</v>
      </c>
      <c r="C49" s="647">
        <f>SUM(D49:R49)</f>
        <v>2151.9100000000003</v>
      </c>
      <c r="D49" s="668">
        <v>3.09</v>
      </c>
      <c r="E49" s="668">
        <v>27.16</v>
      </c>
      <c r="F49" s="668">
        <v>30.29</v>
      </c>
      <c r="G49" s="668">
        <v>37.4</v>
      </c>
      <c r="H49" s="668">
        <v>43.98</v>
      </c>
      <c r="I49" s="668">
        <v>59.7</v>
      </c>
      <c r="J49" s="668">
        <v>75.66</v>
      </c>
      <c r="K49" s="668">
        <v>122.6</v>
      </c>
      <c r="L49" s="668">
        <v>305.41</v>
      </c>
      <c r="M49" s="668">
        <v>368.54</v>
      </c>
      <c r="N49" s="668">
        <v>445.16</v>
      </c>
      <c r="O49" s="668">
        <v>319.87</v>
      </c>
      <c r="P49" s="668">
        <v>96.73</v>
      </c>
      <c r="Q49" s="668">
        <v>62.23</v>
      </c>
      <c r="R49" s="669">
        <v>154.09</v>
      </c>
      <c r="S49" s="670">
        <v>32</v>
      </c>
    </row>
    <row r="50" spans="1:19" s="650" customFormat="1" ht="18.75" customHeight="1">
      <c r="A50" s="813">
        <v>33</v>
      </c>
      <c r="B50" s="667" t="s">
        <v>129</v>
      </c>
      <c r="C50" s="647">
        <f>SUM(D50:R50)</f>
        <v>7010.869999999999</v>
      </c>
      <c r="D50" s="668">
        <v>6.5</v>
      </c>
      <c r="E50" s="668">
        <v>36.82</v>
      </c>
      <c r="F50" s="668">
        <v>82.29</v>
      </c>
      <c r="G50" s="668">
        <v>143.78</v>
      </c>
      <c r="H50" s="668">
        <v>122.24</v>
      </c>
      <c r="I50" s="668">
        <v>274.7</v>
      </c>
      <c r="J50" s="668">
        <v>263.46</v>
      </c>
      <c r="K50" s="668">
        <v>532.95</v>
      </c>
      <c r="L50" s="668">
        <v>703.25</v>
      </c>
      <c r="M50" s="668">
        <v>1325.57</v>
      </c>
      <c r="N50" s="668">
        <v>1224.46</v>
      </c>
      <c r="O50" s="668">
        <v>1146.49</v>
      </c>
      <c r="P50" s="668">
        <v>288.3</v>
      </c>
      <c r="Q50" s="668">
        <v>261.15</v>
      </c>
      <c r="R50" s="669">
        <v>598.91</v>
      </c>
      <c r="S50" s="670">
        <v>33</v>
      </c>
    </row>
    <row r="51" spans="1:19" s="650" customFormat="1" ht="18.75" customHeight="1">
      <c r="A51" s="813">
        <v>34</v>
      </c>
      <c r="B51" s="667" t="s">
        <v>130</v>
      </c>
      <c r="C51" s="647">
        <f>SUM(D51:R51)</f>
        <v>4157.34</v>
      </c>
      <c r="D51" s="668">
        <v>4.07</v>
      </c>
      <c r="E51" s="668">
        <v>25.45</v>
      </c>
      <c r="F51" s="668">
        <v>20.79</v>
      </c>
      <c r="G51" s="668">
        <v>48.76</v>
      </c>
      <c r="H51" s="668">
        <v>125.34</v>
      </c>
      <c r="I51" s="668">
        <v>196.08</v>
      </c>
      <c r="J51" s="668">
        <v>291.99</v>
      </c>
      <c r="K51" s="668">
        <v>395.47</v>
      </c>
      <c r="L51" s="668">
        <v>509.64</v>
      </c>
      <c r="M51" s="668">
        <v>719.44</v>
      </c>
      <c r="N51" s="668">
        <v>642.6</v>
      </c>
      <c r="O51" s="668">
        <v>543.99</v>
      </c>
      <c r="P51" s="668">
        <v>253.27</v>
      </c>
      <c r="Q51" s="668">
        <v>128.19</v>
      </c>
      <c r="R51" s="669">
        <v>252.26</v>
      </c>
      <c r="S51" s="670">
        <v>34</v>
      </c>
    </row>
    <row r="52" spans="1:19" s="650" customFormat="1" ht="18.75" customHeight="1" thickBot="1">
      <c r="A52" s="715">
        <v>35</v>
      </c>
      <c r="B52" s="688" t="s">
        <v>131</v>
      </c>
      <c r="C52" s="689">
        <f>SUM(D52:R52)</f>
        <v>1545.6200000000001</v>
      </c>
      <c r="D52" s="690">
        <v>0.1</v>
      </c>
      <c r="E52" s="690">
        <v>15.84</v>
      </c>
      <c r="F52" s="690">
        <v>33.36</v>
      </c>
      <c r="G52" s="690">
        <v>29.05</v>
      </c>
      <c r="H52" s="690">
        <v>21.49</v>
      </c>
      <c r="I52" s="690">
        <v>48.86</v>
      </c>
      <c r="J52" s="690">
        <v>59.01</v>
      </c>
      <c r="K52" s="690">
        <v>98.55</v>
      </c>
      <c r="L52" s="690">
        <v>199.76</v>
      </c>
      <c r="M52" s="690">
        <v>252.11</v>
      </c>
      <c r="N52" s="690">
        <v>286.37</v>
      </c>
      <c r="O52" s="690">
        <v>258.42</v>
      </c>
      <c r="P52" s="690">
        <v>109.43</v>
      </c>
      <c r="Q52" s="690">
        <v>67.51</v>
      </c>
      <c r="R52" s="691">
        <v>65.76</v>
      </c>
      <c r="S52" s="674">
        <v>35</v>
      </c>
    </row>
    <row r="53" spans="1:20" s="651" customFormat="1" ht="13.5">
      <c r="A53" s="650" t="s">
        <v>294</v>
      </c>
      <c r="B53" s="650"/>
      <c r="C53" s="692"/>
      <c r="D53" s="692"/>
      <c r="E53" s="692"/>
      <c r="F53" s="692"/>
      <c r="G53" s="692"/>
      <c r="H53" s="692"/>
      <c r="I53" s="692"/>
      <c r="J53" s="692"/>
      <c r="K53" s="692"/>
      <c r="L53" s="692"/>
      <c r="M53" s="692"/>
      <c r="N53" s="692"/>
      <c r="O53" s="692"/>
      <c r="P53" s="692"/>
      <c r="Q53" s="692"/>
      <c r="R53" s="692"/>
      <c r="S53" s="693"/>
      <c r="T53" s="650"/>
    </row>
    <row r="54" spans="1:20" ht="12">
      <c r="A54" s="637"/>
      <c r="B54" s="637"/>
      <c r="C54" s="635"/>
      <c r="D54" s="635"/>
      <c r="E54" s="635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9"/>
      <c r="T54" s="637"/>
    </row>
  </sheetData>
  <sheetProtection/>
  <mergeCells count="15">
    <mergeCell ref="A14:B14"/>
    <mergeCell ref="A15:B15"/>
    <mergeCell ref="A3:B3"/>
    <mergeCell ref="A4:B4"/>
    <mergeCell ref="A5:B5"/>
    <mergeCell ref="A6:B6"/>
    <mergeCell ref="A7:B7"/>
    <mergeCell ref="A8:B8"/>
    <mergeCell ref="A48:B48"/>
    <mergeCell ref="A22:B22"/>
    <mergeCell ref="A23:B23"/>
    <mergeCell ref="A30:B30"/>
    <mergeCell ref="A40:B40"/>
    <mergeCell ref="A44:B44"/>
    <mergeCell ref="A41:B41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7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林政課</cp:lastModifiedBy>
  <cp:lastPrinted>2010-12-03T06:02:39Z</cp:lastPrinted>
  <dcterms:created xsi:type="dcterms:W3CDTF">2006-01-04T05:18:03Z</dcterms:created>
  <dcterms:modified xsi:type="dcterms:W3CDTF">2011-05-18T02:55:18Z</dcterms:modified>
  <cp:category/>
  <cp:version/>
  <cp:contentType/>
  <cp:contentStatus/>
</cp:coreProperties>
</file>