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3)卒業後の状況" sheetId="1" r:id="rId1"/>
  </sheets>
  <definedNames>
    <definedName name="_xlnm.Print_Area" localSheetId="0">'中(3)卒業後の状況'!$B$1:$O$55</definedName>
    <definedName name="Z_A2601D44_0665_4381_B004_B8956A38E123_.wvu.PrintArea" localSheetId="0" hidden="1">'中(3)卒業後の状況'!$B$1:$O$54</definedName>
    <definedName name="Z_A2601D44_0665_4381_B004_B8956A38E123_.wvu.Rows" localSheetId="0" hidden="1">'中(3)卒業後の状況'!#REF!</definedName>
    <definedName name="Z_A8E3267B_D7E7_431B_89ED_004DBD7453E8_.wvu.PrintArea" localSheetId="0" hidden="1">'中(3)卒業後の状況'!$B$1:$O$54</definedName>
    <definedName name="Z_A8E3267B_D7E7_431B_89ED_004DBD7453E8_.wvu.Rows" localSheetId="0" hidden="1">'中(3)卒業後の状況'!#REF!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<sst xmlns="http://schemas.openxmlformats.org/spreadsheetml/2006/main" count="200" uniqueCount="35">
  <si>
    <t>（単位：人）</t>
  </si>
  <si>
    <t>区分</t>
  </si>
  <si>
    <t>進学者</t>
  </si>
  <si>
    <t>専修学校等　　入学者</t>
  </si>
  <si>
    <t>就職者</t>
  </si>
  <si>
    <t>無業者</t>
  </si>
  <si>
    <t>その他　　　　　（死亡・不詳）</t>
  </si>
  <si>
    <t>計</t>
  </si>
  <si>
    <t>全日制高校</t>
  </si>
  <si>
    <t>定時制高校</t>
  </si>
  <si>
    <t>通信制高校</t>
  </si>
  <si>
    <t>高等専門学校等</t>
  </si>
  <si>
    <t>私立</t>
  </si>
  <si>
    <t>公立</t>
  </si>
  <si>
    <t>国立</t>
  </si>
  <si>
    <t>12年度</t>
  </si>
  <si>
    <t>13年度</t>
  </si>
  <si>
    <t>－</t>
  </si>
  <si>
    <t>（３）中学校卒業後の状況</t>
  </si>
  <si>
    <t>卒業者
総数</t>
  </si>
  <si>
    <t>全日制高校
進学率</t>
  </si>
  <si>
    <t>進学率</t>
  </si>
  <si>
    <t>14年度</t>
  </si>
  <si>
    <t>15年度</t>
  </si>
  <si>
    <t>16年度</t>
  </si>
  <si>
    <t>17年度</t>
  </si>
  <si>
    <t>18年度</t>
  </si>
  <si>
    <t>（注）　全日制高校に全日制中等教育学校後期課程を含む。</t>
  </si>
  <si>
    <t>19年度</t>
  </si>
  <si>
    <t>20年度</t>
  </si>
  <si>
    <t>21年度</t>
  </si>
  <si>
    <t>出典：「ぐんまの学校統計」第８３、８４表</t>
  </si>
  <si>
    <t>22年度</t>
  </si>
  <si>
    <t>23年度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</si>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</sst>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>
      <alignment horizontal="distributed" vertical="center"/>
      <protection/>
    </xf>
    <xf numFmtId="0" fontId="1" fillId="33" borderId="11" xfId="60" applyFill="1" applyBorder="1" applyAlignment="1">
      <alignment horizontal="distributed"/>
      <protection/>
    </xf>
    <xf numFmtId="0" fontId="6" fillId="33" borderId="12" xfId="60" applyFont="1" applyFill="1" applyBorder="1" applyAlignment="1">
      <alignment horizontal="distributed"/>
      <protection/>
    </xf>
    <xf numFmtId="0" fontId="2" fillId="0" borderId="0" xfId="60" applyFont="1" applyAlignment="1">
      <alignment horizontal="distributed"/>
      <protection/>
    </xf>
    <xf numFmtId="0" fontId="2" fillId="34" borderId="13" xfId="60" applyFont="1" applyFill="1" applyBorder="1" applyAlignment="1">
      <alignment horizontal="distributed" vertical="center"/>
      <protection/>
    </xf>
    <xf numFmtId="184" fontId="2" fillId="0" borderId="13" xfId="60" applyNumberFormat="1" applyFont="1" applyBorder="1" applyAlignment="1">
      <alignment vertical="center"/>
      <protection/>
    </xf>
    <xf numFmtId="184" fontId="2" fillId="0" borderId="14" xfId="60" applyNumberFormat="1" applyFont="1" applyBorder="1" applyAlignment="1">
      <alignment vertical="center"/>
      <protection/>
    </xf>
    <xf numFmtId="186" fontId="2" fillId="0" borderId="15" xfId="60" applyNumberFormat="1" applyFont="1" applyBorder="1" applyAlignment="1">
      <alignment vertical="center"/>
      <protection/>
    </xf>
    <xf numFmtId="184" fontId="2" fillId="0" borderId="15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34" borderId="16" xfId="60" applyFont="1" applyFill="1" applyBorder="1" applyAlignment="1">
      <alignment horizontal="distributed" vertical="center"/>
      <protection/>
    </xf>
    <xf numFmtId="184" fontId="2" fillId="0" borderId="16" xfId="60" applyNumberFormat="1" applyFont="1" applyBorder="1" applyAlignment="1">
      <alignment vertical="center"/>
      <protection/>
    </xf>
    <xf numFmtId="184" fontId="2" fillId="0" borderId="17" xfId="60" applyNumberFormat="1" applyFont="1" applyBorder="1" applyAlignment="1">
      <alignment vertical="center"/>
      <protection/>
    </xf>
    <xf numFmtId="186" fontId="2" fillId="0" borderId="18" xfId="60" applyNumberFormat="1" applyFont="1" applyBorder="1" applyAlignment="1">
      <alignment vertical="center"/>
      <protection/>
    </xf>
    <xf numFmtId="184" fontId="2" fillId="0" borderId="18" xfId="60" applyNumberFormat="1" applyFont="1" applyBorder="1" applyAlignment="1">
      <alignment vertical="center"/>
      <protection/>
    </xf>
    <xf numFmtId="184" fontId="2" fillId="0" borderId="19" xfId="60" applyNumberFormat="1" applyFont="1" applyBorder="1" applyAlignment="1">
      <alignment horizontal="right" vertical="center"/>
      <protection/>
    </xf>
    <xf numFmtId="184" fontId="2" fillId="0" borderId="16" xfId="60" applyNumberFormat="1" applyFont="1" applyBorder="1" applyAlignment="1">
      <alignment horizontal="right" vertical="center"/>
      <protection/>
    </xf>
    <xf numFmtId="0" fontId="2" fillId="34" borderId="20" xfId="60" applyFont="1" applyFill="1" applyBorder="1" applyAlignment="1">
      <alignment horizontal="distributed" vertical="center"/>
      <protection/>
    </xf>
    <xf numFmtId="184" fontId="2" fillId="0" borderId="20" xfId="60" applyNumberFormat="1" applyFont="1" applyBorder="1" applyAlignment="1">
      <alignment vertical="center"/>
      <protection/>
    </xf>
    <xf numFmtId="184" fontId="2" fillId="0" borderId="21" xfId="60" applyNumberFormat="1" applyFont="1" applyBorder="1" applyAlignment="1">
      <alignment vertical="center"/>
      <protection/>
    </xf>
    <xf numFmtId="186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horizontal="right" vertical="center"/>
      <protection/>
    </xf>
    <xf numFmtId="184" fontId="2" fillId="0" borderId="20" xfId="60" applyNumberFormat="1" applyFont="1" applyBorder="1" applyAlignment="1">
      <alignment horizontal="right" vertical="center"/>
      <protection/>
    </xf>
    <xf numFmtId="184" fontId="2" fillId="0" borderId="18" xfId="60" applyNumberFormat="1" applyFont="1" applyBorder="1" applyAlignment="1">
      <alignment horizontal="right" vertical="center"/>
      <protection/>
    </xf>
    <xf numFmtId="0" fontId="1" fillId="0" borderId="0" xfId="60" applyAlignment="1">
      <alignment vertical="center"/>
      <protection/>
    </xf>
    <xf numFmtId="184" fontId="2" fillId="0" borderId="23" xfId="60" applyNumberFormat="1" applyFont="1" applyBorder="1" applyAlignment="1">
      <alignment horizontal="right" vertical="center"/>
      <protection/>
    </xf>
    <xf numFmtId="184" fontId="2" fillId="0" borderId="24" xfId="60" applyNumberFormat="1" applyFont="1" applyBorder="1" applyAlignment="1">
      <alignment horizontal="right" vertical="center"/>
      <protection/>
    </xf>
    <xf numFmtId="184" fontId="2" fillId="0" borderId="25" xfId="60" applyNumberFormat="1" applyFont="1" applyBorder="1" applyAlignment="1">
      <alignment horizontal="right" vertical="center"/>
      <protection/>
    </xf>
    <xf numFmtId="184" fontId="2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184" fontId="2" fillId="0" borderId="18" xfId="60" applyNumberFormat="1" applyFont="1" applyFill="1" applyBorder="1" applyAlignment="1">
      <alignment vertical="center"/>
      <protection/>
    </xf>
    <xf numFmtId="184" fontId="2" fillId="0" borderId="18" xfId="60" applyNumberFormat="1" applyFont="1" applyFill="1" applyBorder="1" applyAlignment="1">
      <alignment horizontal="right" vertical="center"/>
      <protection/>
    </xf>
    <xf numFmtId="184" fontId="2" fillId="0" borderId="23" xfId="60" applyNumberFormat="1" applyFont="1" applyFill="1" applyBorder="1" applyAlignment="1">
      <alignment horizontal="right" vertical="center"/>
      <protection/>
    </xf>
    <xf numFmtId="184" fontId="2" fillId="0" borderId="16" xfId="60" applyNumberFormat="1" applyFont="1" applyFill="1" applyBorder="1" applyAlignment="1">
      <alignment horizontal="right" vertical="center"/>
      <protection/>
    </xf>
    <xf numFmtId="184" fontId="2" fillId="0" borderId="22" xfId="60" applyNumberFormat="1" applyFont="1" applyFill="1" applyBorder="1" applyAlignment="1">
      <alignment vertical="center"/>
      <protection/>
    </xf>
    <xf numFmtId="184" fontId="2" fillId="0" borderId="24" xfId="60" applyNumberFormat="1" applyFont="1" applyFill="1" applyBorder="1" applyAlignment="1">
      <alignment horizontal="right" vertical="center"/>
      <protection/>
    </xf>
    <xf numFmtId="184" fontId="2" fillId="0" borderId="25" xfId="60" applyNumberFormat="1" applyFont="1" applyFill="1" applyBorder="1" applyAlignment="1">
      <alignment horizontal="right" vertical="center"/>
      <protection/>
    </xf>
    <xf numFmtId="184" fontId="2" fillId="0" borderId="26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distributed" vertical="center"/>
      <protection/>
    </xf>
    <xf numFmtId="184" fontId="2" fillId="0" borderId="0" xfId="60" applyNumberFormat="1" applyFont="1" applyBorder="1" applyAlignment="1">
      <alignment vertical="center"/>
      <protection/>
    </xf>
    <xf numFmtId="186" fontId="2" fillId="0" borderId="0" xfId="60" applyNumberFormat="1" applyFont="1" applyBorder="1" applyAlignment="1">
      <alignment vertical="center"/>
      <protection/>
    </xf>
    <xf numFmtId="184" fontId="2" fillId="0" borderId="0" xfId="60" applyNumberFormat="1" applyFont="1" applyFill="1" applyBorder="1" applyAlignment="1">
      <alignment vertical="center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0" fontId="1" fillId="0" borderId="0" xfId="60" applyAlignment="1">
      <alignment vertical="top"/>
      <protection/>
    </xf>
    <xf numFmtId="0" fontId="7" fillId="0" borderId="0" xfId="0" applyFont="1" applyAlignment="1">
      <alignment vertical="center"/>
    </xf>
    <xf numFmtId="184" fontId="2" fillId="0" borderId="27" xfId="60" applyNumberFormat="1" applyFont="1" applyBorder="1" applyAlignment="1">
      <alignment horizontal="right" vertical="center"/>
      <protection/>
    </xf>
    <xf numFmtId="186" fontId="2" fillId="0" borderId="20" xfId="60" applyNumberFormat="1" applyFont="1" applyBorder="1" applyAlignment="1">
      <alignment horizontal="right" vertical="center"/>
      <protection/>
    </xf>
    <xf numFmtId="184" fontId="2" fillId="0" borderId="15" xfId="60" applyNumberFormat="1" applyFont="1" applyBorder="1" applyAlignment="1">
      <alignment horizontal="right" vertical="center"/>
      <protection/>
    </xf>
    <xf numFmtId="184" fontId="2" fillId="0" borderId="28" xfId="60" applyNumberFormat="1" applyFont="1" applyBorder="1" applyAlignment="1">
      <alignment horizontal="right" vertical="center"/>
      <protection/>
    </xf>
    <xf numFmtId="184" fontId="2" fillId="0" borderId="13" xfId="60" applyNumberFormat="1" applyFont="1" applyBorder="1" applyAlignment="1">
      <alignment horizontal="right" vertical="center"/>
      <protection/>
    </xf>
    <xf numFmtId="186" fontId="2" fillId="0" borderId="13" xfId="60" applyNumberFormat="1" applyFont="1" applyBorder="1" applyAlignment="1">
      <alignment horizontal="right" vertical="center"/>
      <protection/>
    </xf>
    <xf numFmtId="186" fontId="2" fillId="0" borderId="16" xfId="60" applyNumberFormat="1" applyFont="1" applyBorder="1" applyAlignment="1">
      <alignment horizontal="right" vertical="center"/>
      <protection/>
    </xf>
    <xf numFmtId="0" fontId="2" fillId="34" borderId="29" xfId="60" applyFont="1" applyFill="1" applyBorder="1" applyAlignment="1">
      <alignment horizontal="center" vertical="center" wrapText="1"/>
      <protection/>
    </xf>
    <xf numFmtId="0" fontId="1" fillId="33" borderId="13" xfId="60" applyFill="1" applyBorder="1" applyAlignment="1">
      <alignment horizontal="distributed" vertical="center" wrapText="1"/>
      <protection/>
    </xf>
    <xf numFmtId="0" fontId="1" fillId="33" borderId="30" xfId="60" applyFill="1" applyBorder="1" applyAlignment="1">
      <alignment horizontal="distributed" vertical="center" wrapText="1"/>
      <protection/>
    </xf>
    <xf numFmtId="0" fontId="4" fillId="33" borderId="14" xfId="60" applyFont="1" applyFill="1" applyBorder="1" applyAlignment="1">
      <alignment horizontal="distributed" vertical="center"/>
      <protection/>
    </xf>
    <xf numFmtId="0" fontId="4" fillId="33" borderId="31" xfId="60" applyFont="1" applyFill="1" applyBorder="1" applyAlignment="1">
      <alignment horizontal="distributed" vertical="center"/>
      <protection/>
    </xf>
    <xf numFmtId="0" fontId="4" fillId="33" borderId="32" xfId="60" applyFont="1" applyFill="1" applyBorder="1" applyAlignment="1">
      <alignment horizontal="distributed" vertical="center"/>
      <protection/>
    </xf>
    <xf numFmtId="0" fontId="1" fillId="33" borderId="13" xfId="60" applyFill="1" applyBorder="1" applyAlignment="1">
      <alignment horizontal="distributed" vertical="center"/>
      <protection/>
    </xf>
    <xf numFmtId="0" fontId="1" fillId="33" borderId="30" xfId="60" applyFill="1" applyBorder="1" applyAlignment="1">
      <alignment horizontal="distributed" vertical="center"/>
      <protection/>
    </xf>
    <xf numFmtId="0" fontId="5" fillId="33" borderId="13" xfId="60" applyFont="1" applyFill="1" applyBorder="1" applyAlignment="1">
      <alignment horizontal="distributed" vertical="center"/>
      <protection/>
    </xf>
    <xf numFmtId="0" fontId="5" fillId="33" borderId="30" xfId="60" applyFont="1" applyFill="1" applyBorder="1" applyAlignment="1">
      <alignment horizontal="distributed" vertical="center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0" fontId="2" fillId="34" borderId="33" xfId="60" applyFont="1" applyFill="1" applyBorder="1" applyAlignment="1">
      <alignment horizontal="center" vertical="center" wrapText="1"/>
      <protection/>
    </xf>
    <xf numFmtId="0" fontId="2" fillId="34" borderId="20" xfId="60" applyFont="1" applyFill="1" applyBorder="1" applyAlignment="1">
      <alignment horizontal="center" vertical="center" wrapText="1"/>
      <protection/>
    </xf>
    <xf numFmtId="0" fontId="1" fillId="33" borderId="14" xfId="60" applyFont="1" applyFill="1" applyBorder="1" applyAlignment="1">
      <alignment horizontal="distributed" vertical="center"/>
      <protection/>
    </xf>
    <xf numFmtId="0" fontId="1" fillId="33" borderId="32" xfId="60" applyFont="1" applyFill="1" applyBorder="1" applyAlignment="1">
      <alignment horizontal="distributed" vertical="center"/>
      <protection/>
    </xf>
    <xf numFmtId="0" fontId="1" fillId="33" borderId="10" xfId="60" applyFont="1" applyFill="1" applyBorder="1" applyAlignment="1">
      <alignment horizontal="distributed" vertical="center"/>
      <protection/>
    </xf>
    <xf numFmtId="0" fontId="1" fillId="33" borderId="34" xfId="60" applyFont="1" applyFill="1" applyBorder="1" applyAlignment="1">
      <alignment horizontal="distributed" vertical="center"/>
      <protection/>
    </xf>
    <xf numFmtId="0" fontId="2" fillId="34" borderId="35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4中学（卒業後の状況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5"/>
  <sheetViews>
    <sheetView showZeros="0" tabSelected="1" zoomScalePageLayoutView="0" workbookViewId="0" topLeftCell="A1">
      <pane xSplit="3" ySplit="4" topLeftCell="D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"/>
  <cols>
    <col min="1" max="1" width="2.59765625" style="3" customWidth="1"/>
    <col min="2" max="2" width="3.3984375" style="3" customWidth="1"/>
    <col min="3" max="3" width="7.8984375" style="3" customWidth="1"/>
    <col min="4" max="4" width="8.59765625" style="3" customWidth="1"/>
    <col min="5" max="10" width="11.5" style="3" customWidth="1"/>
    <col min="11" max="15" width="12.59765625" style="3" customWidth="1"/>
    <col min="16" max="16384" width="9" style="3" customWidth="1"/>
  </cols>
  <sheetData>
    <row r="1" spans="2:5" ht="18.75">
      <c r="B1" s="1" t="s">
        <v>18</v>
      </c>
      <c r="C1" s="2"/>
      <c r="D1" s="2"/>
      <c r="E1" s="2"/>
    </row>
    <row r="2" ht="14.25" customHeight="1">
      <c r="O2" s="4" t="s">
        <v>0</v>
      </c>
    </row>
    <row r="3" spans="2:15" s="5" customFormat="1" ht="16.5" customHeight="1">
      <c r="B3" s="73" t="s">
        <v>1</v>
      </c>
      <c r="C3" s="74"/>
      <c r="D3" s="61" t="s">
        <v>19</v>
      </c>
      <c r="E3" s="63" t="s">
        <v>2</v>
      </c>
      <c r="F3" s="64"/>
      <c r="G3" s="64"/>
      <c r="H3" s="64"/>
      <c r="I3" s="64"/>
      <c r="J3" s="65"/>
      <c r="K3" s="61" t="s">
        <v>3</v>
      </c>
      <c r="L3" s="61" t="s">
        <v>4</v>
      </c>
      <c r="M3" s="66" t="s">
        <v>5</v>
      </c>
      <c r="N3" s="68" t="s">
        <v>6</v>
      </c>
      <c r="O3" s="61" t="s">
        <v>20</v>
      </c>
    </row>
    <row r="4" spans="2:27" s="5" customFormat="1" ht="25.5" customHeight="1" thickBot="1">
      <c r="B4" s="75"/>
      <c r="C4" s="76"/>
      <c r="D4" s="67"/>
      <c r="E4" s="6" t="s">
        <v>7</v>
      </c>
      <c r="F4" s="7" t="s">
        <v>21</v>
      </c>
      <c r="G4" s="7" t="s">
        <v>8</v>
      </c>
      <c r="H4" s="7" t="s">
        <v>9</v>
      </c>
      <c r="I4" s="7" t="s">
        <v>10</v>
      </c>
      <c r="J4" s="8" t="s">
        <v>11</v>
      </c>
      <c r="K4" s="62"/>
      <c r="L4" s="62"/>
      <c r="M4" s="67"/>
      <c r="N4" s="69"/>
      <c r="O4" s="62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15" s="15" customFormat="1" ht="27" customHeight="1" hidden="1" thickTop="1">
      <c r="B5" s="77" t="s">
        <v>15</v>
      </c>
      <c r="C5" s="10" t="s">
        <v>7</v>
      </c>
      <c r="D5" s="11">
        <f>SUM(D6:D8)</f>
        <v>23952</v>
      </c>
      <c r="E5" s="12">
        <f aca="true" t="shared" si="0" ref="E5:E40">SUM(G5:J5)</f>
        <v>23316</v>
      </c>
      <c r="F5" s="13">
        <f aca="true" t="shared" si="1" ref="F5:F17">ROUND(E5/D5,3)</f>
        <v>0.973</v>
      </c>
      <c r="G5" s="14">
        <f aca="true" t="shared" si="2" ref="G5:N5">SUM(G6:G8)</f>
        <v>22645</v>
      </c>
      <c r="H5" s="55">
        <f t="shared" si="2"/>
        <v>331</v>
      </c>
      <c r="I5" s="55">
        <f t="shared" si="2"/>
        <v>73</v>
      </c>
      <c r="J5" s="56">
        <f t="shared" si="2"/>
        <v>267</v>
      </c>
      <c r="K5" s="57">
        <f t="shared" si="2"/>
        <v>135</v>
      </c>
      <c r="L5" s="57">
        <f t="shared" si="2"/>
        <v>203</v>
      </c>
      <c r="M5" s="57">
        <f t="shared" si="2"/>
        <v>297</v>
      </c>
      <c r="N5" s="57">
        <f t="shared" si="2"/>
        <v>1</v>
      </c>
      <c r="O5" s="58">
        <f aca="true" t="shared" si="3" ref="O5:O36">+ROUND(G5/D5,3)</f>
        <v>0.945</v>
      </c>
    </row>
    <row r="6" spans="2:15" s="15" customFormat="1" ht="27" customHeight="1" hidden="1">
      <c r="B6" s="71"/>
      <c r="C6" s="16" t="s">
        <v>12</v>
      </c>
      <c r="D6" s="17">
        <f>SUM(E6,K6,L6,M6,N6)</f>
        <v>233</v>
      </c>
      <c r="E6" s="18">
        <f t="shared" si="0"/>
        <v>227</v>
      </c>
      <c r="F6" s="19">
        <f t="shared" si="1"/>
        <v>0.974</v>
      </c>
      <c r="G6" s="20">
        <f>71+156</f>
        <v>227</v>
      </c>
      <c r="H6" s="30" t="s">
        <v>17</v>
      </c>
      <c r="I6" s="30" t="s">
        <v>17</v>
      </c>
      <c r="J6" s="21" t="s">
        <v>17</v>
      </c>
      <c r="K6" s="22">
        <v>1</v>
      </c>
      <c r="L6" s="22" t="s">
        <v>17</v>
      </c>
      <c r="M6" s="22">
        <v>5</v>
      </c>
      <c r="N6" s="22" t="s">
        <v>17</v>
      </c>
      <c r="O6" s="59">
        <f t="shared" si="3"/>
        <v>0.974</v>
      </c>
    </row>
    <row r="7" spans="2:15" s="15" customFormat="1" ht="27" customHeight="1" hidden="1">
      <c r="B7" s="71"/>
      <c r="C7" s="16" t="s">
        <v>13</v>
      </c>
      <c r="D7" s="17">
        <f>SUM(E7,K7,L7,M7,N7)</f>
        <v>23551</v>
      </c>
      <c r="E7" s="18">
        <f t="shared" si="0"/>
        <v>22922</v>
      </c>
      <c r="F7" s="19">
        <f t="shared" si="1"/>
        <v>0.973</v>
      </c>
      <c r="G7" s="20">
        <f>11135+11122</f>
        <v>22257</v>
      </c>
      <c r="H7" s="30">
        <f>239+92</f>
        <v>331</v>
      </c>
      <c r="I7" s="30">
        <f>36+37</f>
        <v>73</v>
      </c>
      <c r="J7" s="21">
        <f>2+126+26+82+25</f>
        <v>261</v>
      </c>
      <c r="K7" s="22">
        <f>39+10+27+15+41+2</f>
        <v>134</v>
      </c>
      <c r="L7" s="22">
        <f>157+46</f>
        <v>203</v>
      </c>
      <c r="M7" s="22">
        <f>162+129</f>
        <v>291</v>
      </c>
      <c r="N7" s="22">
        <v>1</v>
      </c>
      <c r="O7" s="59">
        <f t="shared" si="3"/>
        <v>0.945</v>
      </c>
    </row>
    <row r="8" spans="2:15" s="15" customFormat="1" ht="27" customHeight="1" hidden="1">
      <c r="B8" s="72"/>
      <c r="C8" s="23" t="s">
        <v>14</v>
      </c>
      <c r="D8" s="24">
        <f>SUM(E8,K8,L8,M8,N8)</f>
        <v>168</v>
      </c>
      <c r="E8" s="25">
        <f t="shared" si="0"/>
        <v>167</v>
      </c>
      <c r="F8" s="26">
        <f t="shared" si="1"/>
        <v>0.994</v>
      </c>
      <c r="G8" s="27">
        <f>79+82</f>
        <v>161</v>
      </c>
      <c r="H8" s="28" t="s">
        <v>17</v>
      </c>
      <c r="I8" s="28" t="s">
        <v>17</v>
      </c>
      <c r="J8" s="53">
        <f>4+2</f>
        <v>6</v>
      </c>
      <c r="K8" s="29" t="s">
        <v>17</v>
      </c>
      <c r="L8" s="29" t="s">
        <v>17</v>
      </c>
      <c r="M8" s="29">
        <v>1</v>
      </c>
      <c r="N8" s="29" t="s">
        <v>17</v>
      </c>
      <c r="O8" s="54">
        <f t="shared" si="3"/>
        <v>0.958</v>
      </c>
    </row>
    <row r="9" spans="2:15" s="15" customFormat="1" ht="27" customHeight="1" hidden="1">
      <c r="B9" s="70" t="s">
        <v>16</v>
      </c>
      <c r="C9" s="10" t="s">
        <v>7</v>
      </c>
      <c r="D9" s="11">
        <f>SUM(D10:D12)</f>
        <v>22947</v>
      </c>
      <c r="E9" s="12">
        <f t="shared" si="0"/>
        <v>22288</v>
      </c>
      <c r="F9" s="13">
        <f t="shared" si="1"/>
        <v>0.971</v>
      </c>
      <c r="G9" s="14">
        <f aca="true" t="shared" si="4" ref="G9:N9">SUM(G10:G12)</f>
        <v>21644</v>
      </c>
      <c r="H9" s="55">
        <f t="shared" si="4"/>
        <v>310</v>
      </c>
      <c r="I9" s="55">
        <f t="shared" si="4"/>
        <v>64</v>
      </c>
      <c r="J9" s="56">
        <f t="shared" si="4"/>
        <v>270</v>
      </c>
      <c r="K9" s="57">
        <f t="shared" si="4"/>
        <v>121</v>
      </c>
      <c r="L9" s="57">
        <f t="shared" si="4"/>
        <v>212</v>
      </c>
      <c r="M9" s="57">
        <f t="shared" si="4"/>
        <v>319</v>
      </c>
      <c r="N9" s="57">
        <f t="shared" si="4"/>
        <v>7</v>
      </c>
      <c r="O9" s="58">
        <f t="shared" si="3"/>
        <v>0.943</v>
      </c>
    </row>
    <row r="10" spans="2:15" s="15" customFormat="1" ht="27" customHeight="1" hidden="1">
      <c r="B10" s="71"/>
      <c r="C10" s="16" t="s">
        <v>12</v>
      </c>
      <c r="D10" s="17">
        <f>SUM(E10,K10,L10,M10,N10)</f>
        <v>221</v>
      </c>
      <c r="E10" s="18">
        <f t="shared" si="0"/>
        <v>218</v>
      </c>
      <c r="F10" s="19">
        <f t="shared" si="1"/>
        <v>0.986</v>
      </c>
      <c r="G10" s="20">
        <v>218</v>
      </c>
      <c r="H10" s="30" t="s">
        <v>17</v>
      </c>
      <c r="I10" s="30" t="s">
        <v>17</v>
      </c>
      <c r="J10" s="32" t="s">
        <v>17</v>
      </c>
      <c r="K10" s="22" t="s">
        <v>17</v>
      </c>
      <c r="L10" s="22" t="s">
        <v>17</v>
      </c>
      <c r="M10" s="22">
        <v>3</v>
      </c>
      <c r="N10" s="22" t="s">
        <v>17</v>
      </c>
      <c r="O10" s="59">
        <f t="shared" si="3"/>
        <v>0.986</v>
      </c>
    </row>
    <row r="11" spans="2:15" s="15" customFormat="1" ht="27" customHeight="1" hidden="1">
      <c r="B11" s="71"/>
      <c r="C11" s="16" t="s">
        <v>13</v>
      </c>
      <c r="D11" s="17">
        <f>SUM(E11,K11,L11,M11,N11)</f>
        <v>22560</v>
      </c>
      <c r="E11" s="18">
        <f t="shared" si="0"/>
        <v>21904</v>
      </c>
      <c r="F11" s="19">
        <f t="shared" si="1"/>
        <v>0.971</v>
      </c>
      <c r="G11" s="20">
        <v>21266</v>
      </c>
      <c r="H11" s="30">
        <v>309</v>
      </c>
      <c r="I11" s="30">
        <v>64</v>
      </c>
      <c r="J11" s="32">
        <v>265</v>
      </c>
      <c r="K11" s="22">
        <v>121</v>
      </c>
      <c r="L11" s="22">
        <v>212</v>
      </c>
      <c r="M11" s="22">
        <v>316</v>
      </c>
      <c r="N11" s="22">
        <v>7</v>
      </c>
      <c r="O11" s="59">
        <f t="shared" si="3"/>
        <v>0.943</v>
      </c>
    </row>
    <row r="12" spans="2:27" s="15" customFormat="1" ht="27" customHeight="1" hidden="1">
      <c r="B12" s="72"/>
      <c r="C12" s="23" t="s">
        <v>14</v>
      </c>
      <c r="D12" s="24">
        <f>SUM(E12,K12,L12,M12,N12)</f>
        <v>166</v>
      </c>
      <c r="E12" s="25">
        <f t="shared" si="0"/>
        <v>166</v>
      </c>
      <c r="F12" s="26">
        <f t="shared" si="1"/>
        <v>1</v>
      </c>
      <c r="G12" s="27">
        <v>160</v>
      </c>
      <c r="H12" s="28">
        <v>1</v>
      </c>
      <c r="I12" s="33" t="s">
        <v>17</v>
      </c>
      <c r="J12" s="34">
        <v>5</v>
      </c>
      <c r="K12" s="35" t="s">
        <v>17</v>
      </c>
      <c r="L12" s="35" t="s">
        <v>17</v>
      </c>
      <c r="M12" s="35" t="s">
        <v>17</v>
      </c>
      <c r="N12" s="35" t="s">
        <v>17</v>
      </c>
      <c r="O12" s="54">
        <f t="shared" si="3"/>
        <v>0.964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2:15" s="15" customFormat="1" ht="27" customHeight="1" thickTop="1">
      <c r="B13" s="70" t="s">
        <v>22</v>
      </c>
      <c r="C13" s="10" t="s">
        <v>7</v>
      </c>
      <c r="D13" s="11">
        <f>SUM(D14:D16)</f>
        <v>22107</v>
      </c>
      <c r="E13" s="12">
        <f t="shared" si="0"/>
        <v>21513</v>
      </c>
      <c r="F13" s="13">
        <f t="shared" si="1"/>
        <v>0.973</v>
      </c>
      <c r="G13" s="14">
        <f aca="true" t="shared" si="5" ref="G13:N13">SUM(G14:G16)</f>
        <v>20839</v>
      </c>
      <c r="H13" s="55">
        <f t="shared" si="5"/>
        <v>336</v>
      </c>
      <c r="I13" s="55">
        <f t="shared" si="5"/>
        <v>87</v>
      </c>
      <c r="J13" s="56">
        <f t="shared" si="5"/>
        <v>251</v>
      </c>
      <c r="K13" s="57">
        <f t="shared" si="5"/>
        <v>112</v>
      </c>
      <c r="L13" s="57">
        <f t="shared" si="5"/>
        <v>201</v>
      </c>
      <c r="M13" s="57">
        <f t="shared" si="5"/>
        <v>277</v>
      </c>
      <c r="N13" s="57">
        <f t="shared" si="5"/>
        <v>4</v>
      </c>
      <c r="O13" s="58">
        <f t="shared" si="3"/>
        <v>0.943</v>
      </c>
    </row>
    <row r="14" spans="2:15" s="15" customFormat="1" ht="27" customHeight="1">
      <c r="B14" s="71"/>
      <c r="C14" s="16" t="s">
        <v>12</v>
      </c>
      <c r="D14" s="17">
        <f>SUM(E14,K14,L14,M14,N14)</f>
        <v>243</v>
      </c>
      <c r="E14" s="18">
        <f t="shared" si="0"/>
        <v>240</v>
      </c>
      <c r="F14" s="19">
        <f t="shared" si="1"/>
        <v>0.988</v>
      </c>
      <c r="G14" s="20">
        <v>240</v>
      </c>
      <c r="H14" s="30" t="s">
        <v>17</v>
      </c>
      <c r="I14" s="30" t="s">
        <v>17</v>
      </c>
      <c r="J14" s="32" t="s">
        <v>17</v>
      </c>
      <c r="K14" s="22">
        <v>1</v>
      </c>
      <c r="L14" s="22" t="s">
        <v>17</v>
      </c>
      <c r="M14" s="22">
        <v>1</v>
      </c>
      <c r="N14" s="22">
        <v>1</v>
      </c>
      <c r="O14" s="59">
        <f t="shared" si="3"/>
        <v>0.988</v>
      </c>
    </row>
    <row r="15" spans="2:15" s="15" customFormat="1" ht="27" customHeight="1">
      <c r="B15" s="71"/>
      <c r="C15" s="16" t="s">
        <v>13</v>
      </c>
      <c r="D15" s="17">
        <f>SUM(E15,K15,L15,M15,N15)</f>
        <v>21699</v>
      </c>
      <c r="E15" s="18">
        <f t="shared" si="0"/>
        <v>21108</v>
      </c>
      <c r="F15" s="19">
        <f t="shared" si="1"/>
        <v>0.973</v>
      </c>
      <c r="G15" s="20">
        <v>20436</v>
      </c>
      <c r="H15" s="30">
        <v>336</v>
      </c>
      <c r="I15" s="30">
        <v>87</v>
      </c>
      <c r="J15" s="32">
        <v>249</v>
      </c>
      <c r="K15" s="22">
        <v>111</v>
      </c>
      <c r="L15" s="22">
        <v>201</v>
      </c>
      <c r="M15" s="22">
        <v>276</v>
      </c>
      <c r="N15" s="22">
        <v>3</v>
      </c>
      <c r="O15" s="59">
        <f t="shared" si="3"/>
        <v>0.942</v>
      </c>
    </row>
    <row r="16" spans="2:15" s="15" customFormat="1" ht="27" customHeight="1">
      <c r="B16" s="72"/>
      <c r="C16" s="23" t="s">
        <v>14</v>
      </c>
      <c r="D16" s="24">
        <f>SUM(E16,K16,L16,M16,N16)</f>
        <v>165</v>
      </c>
      <c r="E16" s="25">
        <f t="shared" si="0"/>
        <v>165</v>
      </c>
      <c r="F16" s="26">
        <f t="shared" si="1"/>
        <v>1</v>
      </c>
      <c r="G16" s="27">
        <v>163</v>
      </c>
      <c r="H16" s="33" t="s">
        <v>17</v>
      </c>
      <c r="I16" s="33" t="s">
        <v>17</v>
      </c>
      <c r="J16" s="34">
        <v>2</v>
      </c>
      <c r="K16" s="35" t="s">
        <v>17</v>
      </c>
      <c r="L16" s="35" t="s">
        <v>17</v>
      </c>
      <c r="M16" s="35" t="s">
        <v>17</v>
      </c>
      <c r="N16" s="35" t="s">
        <v>17</v>
      </c>
      <c r="O16" s="54">
        <f t="shared" si="3"/>
        <v>0.988</v>
      </c>
    </row>
    <row r="17" spans="2:15" s="15" customFormat="1" ht="27" customHeight="1">
      <c r="B17" s="70" t="s">
        <v>23</v>
      </c>
      <c r="C17" s="10" t="s">
        <v>7</v>
      </c>
      <c r="D17" s="11">
        <f>SUM(D18:D20)</f>
        <v>21582</v>
      </c>
      <c r="E17" s="12">
        <f t="shared" si="0"/>
        <v>21024</v>
      </c>
      <c r="F17" s="13">
        <f t="shared" si="1"/>
        <v>0.974</v>
      </c>
      <c r="G17" s="14">
        <f aca="true" t="shared" si="6" ref="G17:N17">SUM(G18:G20)</f>
        <v>20521</v>
      </c>
      <c r="H17" s="55">
        <f t="shared" si="6"/>
        <v>276</v>
      </c>
      <c r="I17" s="55">
        <f t="shared" si="6"/>
        <v>77</v>
      </c>
      <c r="J17" s="56">
        <f t="shared" si="6"/>
        <v>150</v>
      </c>
      <c r="K17" s="57">
        <f t="shared" si="6"/>
        <v>92</v>
      </c>
      <c r="L17" s="57">
        <f t="shared" si="6"/>
        <v>185</v>
      </c>
      <c r="M17" s="57">
        <f t="shared" si="6"/>
        <v>279</v>
      </c>
      <c r="N17" s="57">
        <f t="shared" si="6"/>
        <v>2</v>
      </c>
      <c r="O17" s="58">
        <f t="shared" si="3"/>
        <v>0.951</v>
      </c>
    </row>
    <row r="18" spans="2:15" s="15" customFormat="1" ht="27" customHeight="1">
      <c r="B18" s="71"/>
      <c r="C18" s="16" t="s">
        <v>12</v>
      </c>
      <c r="D18" s="17">
        <f>SUM(E18,K18,L18,M18,N18)</f>
        <v>216</v>
      </c>
      <c r="E18" s="18">
        <f t="shared" si="0"/>
        <v>212</v>
      </c>
      <c r="F18" s="19">
        <f aca="true" t="shared" si="7" ref="F18:F36">ROUND(E18/D18,3)</f>
        <v>0.981</v>
      </c>
      <c r="G18" s="37">
        <v>211</v>
      </c>
      <c r="H18" s="38" t="s">
        <v>17</v>
      </c>
      <c r="I18" s="38">
        <v>1</v>
      </c>
      <c r="J18" s="39" t="s">
        <v>17</v>
      </c>
      <c r="K18" s="40" t="s">
        <v>17</v>
      </c>
      <c r="L18" s="40" t="s">
        <v>17</v>
      </c>
      <c r="M18" s="40">
        <v>3</v>
      </c>
      <c r="N18" s="40">
        <v>1</v>
      </c>
      <c r="O18" s="59">
        <f t="shared" si="3"/>
        <v>0.977</v>
      </c>
    </row>
    <row r="19" spans="2:15" s="15" customFormat="1" ht="27" customHeight="1">
      <c r="B19" s="71"/>
      <c r="C19" s="16" t="s">
        <v>13</v>
      </c>
      <c r="D19" s="17">
        <f>SUM(E19,K19,L19,M19,N19)</f>
        <v>21201</v>
      </c>
      <c r="E19" s="18">
        <f t="shared" si="0"/>
        <v>20650</v>
      </c>
      <c r="F19" s="19">
        <f t="shared" si="7"/>
        <v>0.974</v>
      </c>
      <c r="G19" s="37">
        <v>20152</v>
      </c>
      <c r="H19" s="38">
        <v>276</v>
      </c>
      <c r="I19" s="38">
        <v>75</v>
      </c>
      <c r="J19" s="39">
        <v>147</v>
      </c>
      <c r="K19" s="40">
        <v>90</v>
      </c>
      <c r="L19" s="40">
        <v>185</v>
      </c>
      <c r="M19" s="40">
        <v>275</v>
      </c>
      <c r="N19" s="40">
        <v>1</v>
      </c>
      <c r="O19" s="59">
        <f t="shared" si="3"/>
        <v>0.951</v>
      </c>
    </row>
    <row r="20" spans="2:15" s="15" customFormat="1" ht="27" customHeight="1">
      <c r="B20" s="72"/>
      <c r="C20" s="23" t="s">
        <v>14</v>
      </c>
      <c r="D20" s="24">
        <f>SUM(E20,K20,L20,M20,N20)</f>
        <v>165</v>
      </c>
      <c r="E20" s="25">
        <f t="shared" si="0"/>
        <v>162</v>
      </c>
      <c r="F20" s="26">
        <f t="shared" si="7"/>
        <v>0.982</v>
      </c>
      <c r="G20" s="41">
        <v>158</v>
      </c>
      <c r="H20" s="42" t="s">
        <v>17</v>
      </c>
      <c r="I20" s="42">
        <v>1</v>
      </c>
      <c r="J20" s="43">
        <v>3</v>
      </c>
      <c r="K20" s="44">
        <v>2</v>
      </c>
      <c r="L20" s="44" t="s">
        <v>17</v>
      </c>
      <c r="M20" s="44">
        <v>1</v>
      </c>
      <c r="N20" s="44" t="s">
        <v>17</v>
      </c>
      <c r="O20" s="54">
        <f t="shared" si="3"/>
        <v>0.958</v>
      </c>
    </row>
    <row r="21" spans="2:15" s="36" customFormat="1" ht="27" customHeight="1">
      <c r="B21" s="70" t="s">
        <v>24</v>
      </c>
      <c r="C21" s="10" t="s">
        <v>7</v>
      </c>
      <c r="D21" s="11">
        <f>SUM(D22:D24)</f>
        <v>21630</v>
      </c>
      <c r="E21" s="12">
        <f t="shared" si="0"/>
        <v>21105</v>
      </c>
      <c r="F21" s="13">
        <f t="shared" si="7"/>
        <v>0.976</v>
      </c>
      <c r="G21" s="14">
        <f aca="true" t="shared" si="8" ref="G21:N21">SUM(G22:G24)</f>
        <v>20419</v>
      </c>
      <c r="H21" s="55">
        <f t="shared" si="8"/>
        <v>292</v>
      </c>
      <c r="I21" s="55">
        <f t="shared" si="8"/>
        <v>111</v>
      </c>
      <c r="J21" s="56">
        <f t="shared" si="8"/>
        <v>283</v>
      </c>
      <c r="K21" s="57">
        <f t="shared" si="8"/>
        <v>90</v>
      </c>
      <c r="L21" s="57">
        <f t="shared" si="8"/>
        <v>175</v>
      </c>
      <c r="M21" s="57">
        <f t="shared" si="8"/>
        <v>259</v>
      </c>
      <c r="N21" s="57">
        <f t="shared" si="8"/>
        <v>1</v>
      </c>
      <c r="O21" s="58">
        <f t="shared" si="3"/>
        <v>0.944</v>
      </c>
    </row>
    <row r="22" spans="2:15" s="36" customFormat="1" ht="27" customHeight="1">
      <c r="B22" s="71"/>
      <c r="C22" s="16" t="s">
        <v>12</v>
      </c>
      <c r="D22" s="17">
        <f>SUM(E22,K22,L22,M22,N22)</f>
        <v>310</v>
      </c>
      <c r="E22" s="18">
        <f t="shared" si="0"/>
        <v>306</v>
      </c>
      <c r="F22" s="19">
        <f t="shared" si="7"/>
        <v>0.987</v>
      </c>
      <c r="G22" s="37">
        <f>114+186</f>
        <v>300</v>
      </c>
      <c r="H22" s="38">
        <v>3</v>
      </c>
      <c r="I22" s="38">
        <f>2+1</f>
        <v>3</v>
      </c>
      <c r="J22" s="39" t="s">
        <v>17</v>
      </c>
      <c r="K22" s="40" t="s">
        <v>17</v>
      </c>
      <c r="L22" s="40" t="s">
        <v>17</v>
      </c>
      <c r="M22" s="40">
        <v>4</v>
      </c>
      <c r="N22" s="40" t="s">
        <v>17</v>
      </c>
      <c r="O22" s="59">
        <f t="shared" si="3"/>
        <v>0.968</v>
      </c>
    </row>
    <row r="23" spans="2:15" s="36" customFormat="1" ht="27" customHeight="1">
      <c r="B23" s="71"/>
      <c r="C23" s="16" t="s">
        <v>13</v>
      </c>
      <c r="D23" s="17">
        <f>SUM(E23,K23,L23,M23,N23)</f>
        <v>21155</v>
      </c>
      <c r="E23" s="18">
        <f t="shared" si="0"/>
        <v>20634</v>
      </c>
      <c r="F23" s="19">
        <f t="shared" si="7"/>
        <v>0.975</v>
      </c>
      <c r="G23" s="37">
        <f>10132+9800+9+13+1+2</f>
        <v>19957</v>
      </c>
      <c r="H23" s="38">
        <f>164+125</f>
        <v>289</v>
      </c>
      <c r="I23" s="38">
        <f>39+69</f>
        <v>108</v>
      </c>
      <c r="J23" s="39">
        <f>133+15+86+42+2+2</f>
        <v>280</v>
      </c>
      <c r="K23" s="40">
        <f>31+26+7+9+16+1</f>
        <v>90</v>
      </c>
      <c r="L23" s="40">
        <f>123+52</f>
        <v>175</v>
      </c>
      <c r="M23" s="40">
        <f>122+133</f>
        <v>255</v>
      </c>
      <c r="N23" s="40">
        <v>1</v>
      </c>
      <c r="O23" s="59">
        <f t="shared" si="3"/>
        <v>0.943</v>
      </c>
    </row>
    <row r="24" spans="2:15" s="36" customFormat="1" ht="27" customHeight="1">
      <c r="B24" s="72"/>
      <c r="C24" s="23" t="s">
        <v>14</v>
      </c>
      <c r="D24" s="24">
        <f>SUM(E24,K24,L24,M24,N24)</f>
        <v>165</v>
      </c>
      <c r="E24" s="25">
        <f t="shared" si="0"/>
        <v>165</v>
      </c>
      <c r="F24" s="26">
        <f t="shared" si="7"/>
        <v>1</v>
      </c>
      <c r="G24" s="41">
        <f>79+82+1</f>
        <v>162</v>
      </c>
      <c r="H24" s="42" t="s">
        <v>17</v>
      </c>
      <c r="I24" s="42" t="s">
        <v>17</v>
      </c>
      <c r="J24" s="43">
        <f>2+1</f>
        <v>3</v>
      </c>
      <c r="K24" s="44" t="s">
        <v>17</v>
      </c>
      <c r="L24" s="44" t="s">
        <v>17</v>
      </c>
      <c r="M24" s="44" t="s">
        <v>17</v>
      </c>
      <c r="N24" s="44" t="s">
        <v>17</v>
      </c>
      <c r="O24" s="54">
        <f t="shared" si="3"/>
        <v>0.982</v>
      </c>
    </row>
    <row r="25" spans="2:15" s="36" customFormat="1" ht="27" customHeight="1">
      <c r="B25" s="70" t="s">
        <v>25</v>
      </c>
      <c r="C25" s="10" t="s">
        <v>7</v>
      </c>
      <c r="D25" s="11">
        <f>SUM(D26:D28)</f>
        <v>20358</v>
      </c>
      <c r="E25" s="12">
        <f t="shared" si="0"/>
        <v>19867</v>
      </c>
      <c r="F25" s="13">
        <f t="shared" si="7"/>
        <v>0.976</v>
      </c>
      <c r="G25" s="14">
        <f aca="true" t="shared" si="9" ref="G25:N25">SUM(G26:G28)</f>
        <v>19068</v>
      </c>
      <c r="H25" s="55">
        <f t="shared" si="9"/>
        <v>383</v>
      </c>
      <c r="I25" s="55">
        <f t="shared" si="9"/>
        <v>149</v>
      </c>
      <c r="J25" s="56">
        <f t="shared" si="9"/>
        <v>267</v>
      </c>
      <c r="K25" s="57">
        <f t="shared" si="9"/>
        <v>78</v>
      </c>
      <c r="L25" s="57">
        <f t="shared" si="9"/>
        <v>141</v>
      </c>
      <c r="M25" s="57">
        <f t="shared" si="9"/>
        <v>268</v>
      </c>
      <c r="N25" s="57">
        <f t="shared" si="9"/>
        <v>4</v>
      </c>
      <c r="O25" s="58">
        <f t="shared" si="3"/>
        <v>0.937</v>
      </c>
    </row>
    <row r="26" spans="2:15" s="36" customFormat="1" ht="27" customHeight="1">
      <c r="B26" s="71"/>
      <c r="C26" s="16" t="s">
        <v>12</v>
      </c>
      <c r="D26" s="17">
        <f>SUM(E26,K26,L26,M26,N26)</f>
        <v>337</v>
      </c>
      <c r="E26" s="18">
        <f t="shared" si="0"/>
        <v>334</v>
      </c>
      <c r="F26" s="19">
        <f t="shared" si="7"/>
        <v>0.991</v>
      </c>
      <c r="G26" s="37">
        <f>119+212</f>
        <v>331</v>
      </c>
      <c r="H26" s="38">
        <v>1</v>
      </c>
      <c r="I26" s="38">
        <f>1+1</f>
        <v>2</v>
      </c>
      <c r="J26" s="39" t="s">
        <v>17</v>
      </c>
      <c r="K26" s="40">
        <v>1</v>
      </c>
      <c r="L26" s="40" t="s">
        <v>17</v>
      </c>
      <c r="M26" s="40">
        <v>2</v>
      </c>
      <c r="N26" s="40" t="s">
        <v>17</v>
      </c>
      <c r="O26" s="59">
        <f t="shared" si="3"/>
        <v>0.982</v>
      </c>
    </row>
    <row r="27" spans="2:15" s="36" customFormat="1" ht="27" customHeight="1">
      <c r="B27" s="71"/>
      <c r="C27" s="16" t="s">
        <v>13</v>
      </c>
      <c r="D27" s="17">
        <f>SUM(E27,K27,L27,M27,N27)</f>
        <v>19862</v>
      </c>
      <c r="E27" s="18">
        <f t="shared" si="0"/>
        <v>19374</v>
      </c>
      <c r="F27" s="19">
        <f t="shared" si="7"/>
        <v>0.975</v>
      </c>
      <c r="G27" s="37">
        <f>9510+9037+17+18</f>
        <v>18582</v>
      </c>
      <c r="H27" s="38">
        <f>237+145</f>
        <v>382</v>
      </c>
      <c r="I27" s="38">
        <f>71+76</f>
        <v>147</v>
      </c>
      <c r="J27" s="39">
        <f>138+17+65+43</f>
        <v>263</v>
      </c>
      <c r="K27" s="40">
        <f>20+22+14+12+8+1</f>
        <v>77</v>
      </c>
      <c r="L27" s="40">
        <f>109+32</f>
        <v>141</v>
      </c>
      <c r="M27" s="40">
        <f>150+116</f>
        <v>266</v>
      </c>
      <c r="N27" s="40">
        <f>3+1</f>
        <v>4</v>
      </c>
      <c r="O27" s="59">
        <f t="shared" si="3"/>
        <v>0.936</v>
      </c>
    </row>
    <row r="28" spans="2:15" s="36" customFormat="1" ht="27" customHeight="1">
      <c r="B28" s="72"/>
      <c r="C28" s="23" t="s">
        <v>14</v>
      </c>
      <c r="D28" s="24">
        <f>SUM(E28,K28,L28,M28,N28)</f>
        <v>159</v>
      </c>
      <c r="E28" s="25">
        <f t="shared" si="0"/>
        <v>159</v>
      </c>
      <c r="F28" s="26">
        <f t="shared" si="7"/>
        <v>1</v>
      </c>
      <c r="G28" s="41">
        <f>78+77</f>
        <v>155</v>
      </c>
      <c r="H28" s="42" t="s">
        <v>17</v>
      </c>
      <c r="I28" s="42" t="s">
        <v>17</v>
      </c>
      <c r="J28" s="43">
        <f>2+2</f>
        <v>4</v>
      </c>
      <c r="K28" s="44" t="s">
        <v>17</v>
      </c>
      <c r="L28" s="44" t="s">
        <v>17</v>
      </c>
      <c r="M28" s="44" t="s">
        <v>17</v>
      </c>
      <c r="N28" s="44" t="s">
        <v>17</v>
      </c>
      <c r="O28" s="54">
        <f t="shared" si="3"/>
        <v>0.975</v>
      </c>
    </row>
    <row r="29" spans="2:15" s="36" customFormat="1" ht="27" customHeight="1">
      <c r="B29" s="70" t="s">
        <v>26</v>
      </c>
      <c r="C29" s="10" t="s">
        <v>7</v>
      </c>
      <c r="D29" s="11">
        <f>SUM(D30:D32)</f>
        <v>19767</v>
      </c>
      <c r="E29" s="12">
        <f t="shared" si="0"/>
        <v>19248</v>
      </c>
      <c r="F29" s="13">
        <f t="shared" si="7"/>
        <v>0.974</v>
      </c>
      <c r="G29" s="14">
        <f aca="true" t="shared" si="10" ref="G29:N29">SUM(G30:G32)</f>
        <v>18486</v>
      </c>
      <c r="H29" s="55">
        <f t="shared" si="10"/>
        <v>364</v>
      </c>
      <c r="I29" s="55">
        <f t="shared" si="10"/>
        <v>130</v>
      </c>
      <c r="J29" s="56">
        <f t="shared" si="10"/>
        <v>268</v>
      </c>
      <c r="K29" s="57">
        <f t="shared" si="10"/>
        <v>102</v>
      </c>
      <c r="L29" s="57">
        <f t="shared" si="10"/>
        <v>146</v>
      </c>
      <c r="M29" s="57">
        <f t="shared" si="10"/>
        <v>271</v>
      </c>
      <c r="N29" s="57">
        <f t="shared" si="10"/>
        <v>0</v>
      </c>
      <c r="O29" s="58">
        <f t="shared" si="3"/>
        <v>0.935</v>
      </c>
    </row>
    <row r="30" spans="2:15" s="36" customFormat="1" ht="27" customHeight="1">
      <c r="B30" s="71"/>
      <c r="C30" s="16" t="s">
        <v>12</v>
      </c>
      <c r="D30" s="17">
        <f>SUM(E30,K30,L30,M30,N30)</f>
        <v>319</v>
      </c>
      <c r="E30" s="18">
        <f t="shared" si="0"/>
        <v>319</v>
      </c>
      <c r="F30" s="19">
        <f t="shared" si="7"/>
        <v>1</v>
      </c>
      <c r="G30" s="37">
        <f>134+175</f>
        <v>309</v>
      </c>
      <c r="H30" s="38">
        <v>1</v>
      </c>
      <c r="I30" s="38">
        <f>2+6</f>
        <v>8</v>
      </c>
      <c r="J30" s="39">
        <v>1</v>
      </c>
      <c r="K30" s="40" t="s">
        <v>17</v>
      </c>
      <c r="L30" s="40" t="s">
        <v>17</v>
      </c>
      <c r="M30" s="40" t="s">
        <v>17</v>
      </c>
      <c r="N30" s="40" t="s">
        <v>17</v>
      </c>
      <c r="O30" s="59">
        <f t="shared" si="3"/>
        <v>0.969</v>
      </c>
    </row>
    <row r="31" spans="2:15" s="36" customFormat="1" ht="27" customHeight="1">
      <c r="B31" s="71"/>
      <c r="C31" s="16" t="s">
        <v>13</v>
      </c>
      <c r="D31" s="17">
        <f>SUM(E31,K31,L31,M31,N31)</f>
        <v>19288</v>
      </c>
      <c r="E31" s="18">
        <f t="shared" si="0"/>
        <v>18772</v>
      </c>
      <c r="F31" s="19">
        <f t="shared" si="7"/>
        <v>0.973</v>
      </c>
      <c r="G31" s="37">
        <f>9227+8782+6+8</f>
        <v>18023</v>
      </c>
      <c r="H31" s="38">
        <f>211+152</f>
        <v>363</v>
      </c>
      <c r="I31" s="38">
        <f>42+79</f>
        <v>121</v>
      </c>
      <c r="J31" s="39">
        <f>122+24+76+41+2</f>
        <v>265</v>
      </c>
      <c r="K31" s="40">
        <f>36+19+13+15+18+1</f>
        <v>102</v>
      </c>
      <c r="L31" s="40">
        <f>99+47</f>
        <v>146</v>
      </c>
      <c r="M31" s="40">
        <f>137+131</f>
        <v>268</v>
      </c>
      <c r="N31" s="40" t="s">
        <v>17</v>
      </c>
      <c r="O31" s="59">
        <f t="shared" si="3"/>
        <v>0.934</v>
      </c>
    </row>
    <row r="32" spans="2:15" s="36" customFormat="1" ht="27" customHeight="1">
      <c r="B32" s="72"/>
      <c r="C32" s="23" t="s">
        <v>14</v>
      </c>
      <c r="D32" s="24">
        <f>SUM(E32,K32,L32,M32,N32)</f>
        <v>160</v>
      </c>
      <c r="E32" s="25">
        <f t="shared" si="0"/>
        <v>157</v>
      </c>
      <c r="F32" s="26">
        <f t="shared" si="7"/>
        <v>0.981</v>
      </c>
      <c r="G32" s="41">
        <f>77+77</f>
        <v>154</v>
      </c>
      <c r="H32" s="42" t="s">
        <v>17</v>
      </c>
      <c r="I32" s="42">
        <v>1</v>
      </c>
      <c r="J32" s="43">
        <f>1+1</f>
        <v>2</v>
      </c>
      <c r="K32" s="44" t="s">
        <v>17</v>
      </c>
      <c r="L32" s="44" t="s">
        <v>17</v>
      </c>
      <c r="M32" s="44">
        <f>1+2</f>
        <v>3</v>
      </c>
      <c r="N32" s="44" t="s">
        <v>17</v>
      </c>
      <c r="O32" s="54">
        <f t="shared" si="3"/>
        <v>0.963</v>
      </c>
    </row>
    <row r="33" spans="2:15" s="36" customFormat="1" ht="27" customHeight="1">
      <c r="B33" s="70" t="s">
        <v>28</v>
      </c>
      <c r="C33" s="10" t="s">
        <v>7</v>
      </c>
      <c r="D33" s="11">
        <f>SUM(D34:D36)</f>
        <v>19962</v>
      </c>
      <c r="E33" s="12">
        <f t="shared" si="0"/>
        <v>19444</v>
      </c>
      <c r="F33" s="13">
        <f t="shared" si="7"/>
        <v>0.974</v>
      </c>
      <c r="G33" s="14">
        <f aca="true" t="shared" si="11" ref="G33:N33">SUM(G34:G36)</f>
        <v>18641</v>
      </c>
      <c r="H33" s="55">
        <f t="shared" si="11"/>
        <v>374</v>
      </c>
      <c r="I33" s="55">
        <f t="shared" si="11"/>
        <v>141</v>
      </c>
      <c r="J33" s="56">
        <f t="shared" si="11"/>
        <v>288</v>
      </c>
      <c r="K33" s="57">
        <f t="shared" si="11"/>
        <v>109</v>
      </c>
      <c r="L33" s="57">
        <f t="shared" si="11"/>
        <v>137</v>
      </c>
      <c r="M33" s="57">
        <f t="shared" si="11"/>
        <v>267</v>
      </c>
      <c r="N33" s="57">
        <f t="shared" si="11"/>
        <v>3</v>
      </c>
      <c r="O33" s="58">
        <f t="shared" si="3"/>
        <v>0.934</v>
      </c>
    </row>
    <row r="34" spans="2:15" s="36" customFormat="1" ht="27" customHeight="1">
      <c r="B34" s="71"/>
      <c r="C34" s="16" t="s">
        <v>12</v>
      </c>
      <c r="D34" s="17">
        <v>353</v>
      </c>
      <c r="E34" s="18">
        <f t="shared" si="0"/>
        <v>351</v>
      </c>
      <c r="F34" s="19">
        <f t="shared" si="7"/>
        <v>0.994</v>
      </c>
      <c r="G34" s="37">
        <v>347</v>
      </c>
      <c r="H34" s="38" t="s">
        <v>17</v>
      </c>
      <c r="I34" s="38">
        <v>4</v>
      </c>
      <c r="J34" s="39" t="s">
        <v>17</v>
      </c>
      <c r="K34" s="40" t="s">
        <v>17</v>
      </c>
      <c r="L34" s="40" t="s">
        <v>17</v>
      </c>
      <c r="M34" s="40" t="s">
        <v>17</v>
      </c>
      <c r="N34" s="40" t="s">
        <v>17</v>
      </c>
      <c r="O34" s="59">
        <f t="shared" si="3"/>
        <v>0.983</v>
      </c>
    </row>
    <row r="35" spans="2:15" s="36" customFormat="1" ht="27" customHeight="1">
      <c r="B35" s="71"/>
      <c r="C35" s="16" t="s">
        <v>13</v>
      </c>
      <c r="D35" s="17">
        <v>19450</v>
      </c>
      <c r="E35" s="18">
        <f t="shared" si="0"/>
        <v>18935</v>
      </c>
      <c r="F35" s="19">
        <f t="shared" si="7"/>
        <v>0.974</v>
      </c>
      <c r="G35" s="37">
        <f>9201+8915+11+10</f>
        <v>18137</v>
      </c>
      <c r="H35" s="38">
        <f>232+141</f>
        <v>373</v>
      </c>
      <c r="I35" s="38">
        <f>54+83</f>
        <v>137</v>
      </c>
      <c r="J35" s="39">
        <f>127+17+95+48+1</f>
        <v>288</v>
      </c>
      <c r="K35" s="40">
        <f>62+27+20</f>
        <v>109</v>
      </c>
      <c r="L35" s="40">
        <f>112+25</f>
        <v>137</v>
      </c>
      <c r="M35" s="40">
        <v>266</v>
      </c>
      <c r="N35" s="40">
        <v>3</v>
      </c>
      <c r="O35" s="59">
        <f t="shared" si="3"/>
        <v>0.932</v>
      </c>
    </row>
    <row r="36" spans="2:15" s="36" customFormat="1" ht="27" customHeight="1">
      <c r="B36" s="72"/>
      <c r="C36" s="23" t="s">
        <v>14</v>
      </c>
      <c r="D36" s="24">
        <v>159</v>
      </c>
      <c r="E36" s="25">
        <f t="shared" si="0"/>
        <v>158</v>
      </c>
      <c r="F36" s="26">
        <f t="shared" si="7"/>
        <v>0.994</v>
      </c>
      <c r="G36" s="41">
        <f>79+78</f>
        <v>157</v>
      </c>
      <c r="H36" s="42">
        <v>1</v>
      </c>
      <c r="I36" s="42" t="s">
        <v>17</v>
      </c>
      <c r="J36" s="43" t="s">
        <v>17</v>
      </c>
      <c r="K36" s="44" t="s">
        <v>17</v>
      </c>
      <c r="L36" s="44" t="s">
        <v>17</v>
      </c>
      <c r="M36" s="44">
        <v>1</v>
      </c>
      <c r="N36" s="44" t="s">
        <v>17</v>
      </c>
      <c r="O36" s="54">
        <f t="shared" si="3"/>
        <v>0.987</v>
      </c>
    </row>
    <row r="37" spans="2:15" s="36" customFormat="1" ht="27" customHeight="1">
      <c r="B37" s="60" t="s">
        <v>29</v>
      </c>
      <c r="C37" s="10" t="s">
        <v>7</v>
      </c>
      <c r="D37" s="11">
        <f>SUM(D38:D40)</f>
        <v>19722</v>
      </c>
      <c r="E37" s="12">
        <f t="shared" si="0"/>
        <v>19309</v>
      </c>
      <c r="F37" s="13">
        <f aca="true" t="shared" si="12" ref="F37:F44">ROUND(E37/D37,3)</f>
        <v>0.979</v>
      </c>
      <c r="G37" s="14">
        <f aca="true" t="shared" si="13" ref="G37:N37">SUM(G38:G40)</f>
        <v>18469</v>
      </c>
      <c r="H37" s="55">
        <f t="shared" si="13"/>
        <v>386</v>
      </c>
      <c r="I37" s="55">
        <f t="shared" si="13"/>
        <v>134</v>
      </c>
      <c r="J37" s="56">
        <f t="shared" si="13"/>
        <v>320</v>
      </c>
      <c r="K37" s="57">
        <f t="shared" si="13"/>
        <v>79</v>
      </c>
      <c r="L37" s="57">
        <f t="shared" si="13"/>
        <v>132</v>
      </c>
      <c r="M37" s="57">
        <f t="shared" si="13"/>
        <v>201</v>
      </c>
      <c r="N37" s="57">
        <f t="shared" si="13"/>
        <v>1</v>
      </c>
      <c r="O37" s="58">
        <f aca="true" t="shared" si="14" ref="O37:O44">+ROUND(G37/D37,3)</f>
        <v>0.936</v>
      </c>
    </row>
    <row r="38" spans="2:15" s="36" customFormat="1" ht="27" customHeight="1">
      <c r="B38" s="60"/>
      <c r="C38" s="16" t="s">
        <v>12</v>
      </c>
      <c r="D38" s="17">
        <f>SUM(E38,K38,L38,M38,N38)</f>
        <v>341</v>
      </c>
      <c r="E38" s="18">
        <f t="shared" si="0"/>
        <v>338</v>
      </c>
      <c r="F38" s="19">
        <f t="shared" si="12"/>
        <v>0.991</v>
      </c>
      <c r="G38" s="20">
        <v>332</v>
      </c>
      <c r="H38" s="30" t="s">
        <v>17</v>
      </c>
      <c r="I38" s="30">
        <v>6</v>
      </c>
      <c r="J38" s="21" t="s">
        <v>17</v>
      </c>
      <c r="K38" s="22" t="s">
        <v>17</v>
      </c>
      <c r="L38" s="22" t="s">
        <v>17</v>
      </c>
      <c r="M38" s="22">
        <v>3</v>
      </c>
      <c r="N38" s="22" t="s">
        <v>17</v>
      </c>
      <c r="O38" s="59">
        <f t="shared" si="14"/>
        <v>0.974</v>
      </c>
    </row>
    <row r="39" spans="2:15" s="36" customFormat="1" ht="27" customHeight="1">
      <c r="B39" s="60"/>
      <c r="C39" s="16" t="s">
        <v>13</v>
      </c>
      <c r="D39" s="17">
        <f>SUM(E39,K39,L39,M39,N39)</f>
        <v>19222</v>
      </c>
      <c r="E39" s="18">
        <f t="shared" si="0"/>
        <v>18812</v>
      </c>
      <c r="F39" s="19">
        <f t="shared" si="12"/>
        <v>0.979</v>
      </c>
      <c r="G39" s="20">
        <v>17978</v>
      </c>
      <c r="H39" s="30">
        <v>386</v>
      </c>
      <c r="I39" s="30">
        <v>128</v>
      </c>
      <c r="J39" s="21">
        <v>320</v>
      </c>
      <c r="K39" s="22">
        <v>79</v>
      </c>
      <c r="L39" s="22">
        <v>132</v>
      </c>
      <c r="M39" s="22">
        <v>198</v>
      </c>
      <c r="N39" s="22">
        <v>1</v>
      </c>
      <c r="O39" s="59">
        <f t="shared" si="14"/>
        <v>0.935</v>
      </c>
    </row>
    <row r="40" spans="2:15" s="36" customFormat="1" ht="27" customHeight="1">
      <c r="B40" s="60"/>
      <c r="C40" s="23" t="s">
        <v>14</v>
      </c>
      <c r="D40" s="24">
        <f>SUM(E40,K40,L40,M40,N40)</f>
        <v>159</v>
      </c>
      <c r="E40" s="25">
        <f t="shared" si="0"/>
        <v>159</v>
      </c>
      <c r="F40" s="26">
        <f t="shared" si="12"/>
        <v>1</v>
      </c>
      <c r="G40" s="27">
        <v>159</v>
      </c>
      <c r="H40" s="28" t="s">
        <v>17</v>
      </c>
      <c r="I40" s="28" t="s">
        <v>17</v>
      </c>
      <c r="J40" s="53" t="s">
        <v>17</v>
      </c>
      <c r="K40" s="29" t="s">
        <v>17</v>
      </c>
      <c r="L40" s="29" t="s">
        <v>17</v>
      </c>
      <c r="M40" s="29" t="s">
        <v>17</v>
      </c>
      <c r="N40" s="29" t="s">
        <v>17</v>
      </c>
      <c r="O40" s="54">
        <f t="shared" si="14"/>
        <v>1</v>
      </c>
    </row>
    <row r="41" spans="2:15" s="15" customFormat="1" ht="27" customHeight="1">
      <c r="B41" s="60" t="s">
        <v>30</v>
      </c>
      <c r="C41" s="10" t="s">
        <v>7</v>
      </c>
      <c r="D41" s="11">
        <f>SUM(D42:D44)</f>
        <v>19417</v>
      </c>
      <c r="E41" s="12">
        <f aca="true" t="shared" si="15" ref="E41:E48">SUM(G41:J41)</f>
        <v>19016</v>
      </c>
      <c r="F41" s="13">
        <f t="shared" si="12"/>
        <v>0.979</v>
      </c>
      <c r="G41" s="14">
        <f aca="true" t="shared" si="16" ref="G41:N41">SUM(G42:G44)</f>
        <v>18080</v>
      </c>
      <c r="H41" s="55">
        <f t="shared" si="16"/>
        <v>481</v>
      </c>
      <c r="I41" s="55">
        <f t="shared" si="16"/>
        <v>160</v>
      </c>
      <c r="J41" s="56">
        <f t="shared" si="16"/>
        <v>295</v>
      </c>
      <c r="K41" s="57">
        <f t="shared" si="16"/>
        <v>84</v>
      </c>
      <c r="L41" s="57">
        <f t="shared" si="16"/>
        <v>76</v>
      </c>
      <c r="M41" s="57">
        <f t="shared" si="16"/>
        <v>239</v>
      </c>
      <c r="N41" s="57">
        <f t="shared" si="16"/>
        <v>2</v>
      </c>
      <c r="O41" s="58">
        <f t="shared" si="14"/>
        <v>0.931</v>
      </c>
    </row>
    <row r="42" spans="2:15" s="15" customFormat="1" ht="27" customHeight="1">
      <c r="B42" s="60"/>
      <c r="C42" s="16" t="s">
        <v>12</v>
      </c>
      <c r="D42" s="17">
        <f>SUM(E42,K42,L42,M42,N42)</f>
        <v>373</v>
      </c>
      <c r="E42" s="18">
        <f t="shared" si="15"/>
        <v>372</v>
      </c>
      <c r="F42" s="19">
        <f t="shared" si="12"/>
        <v>0.997</v>
      </c>
      <c r="G42" s="20">
        <v>362</v>
      </c>
      <c r="H42" s="30">
        <v>1</v>
      </c>
      <c r="I42" s="30">
        <v>9</v>
      </c>
      <c r="J42" s="21" t="s">
        <v>17</v>
      </c>
      <c r="K42" s="22" t="s">
        <v>17</v>
      </c>
      <c r="L42" s="22" t="s">
        <v>17</v>
      </c>
      <c r="M42" s="22">
        <v>1</v>
      </c>
      <c r="N42" s="22" t="s">
        <v>17</v>
      </c>
      <c r="O42" s="59">
        <f t="shared" si="14"/>
        <v>0.971</v>
      </c>
    </row>
    <row r="43" spans="2:15" s="15" customFormat="1" ht="27" customHeight="1">
      <c r="B43" s="60"/>
      <c r="C43" s="16" t="s">
        <v>13</v>
      </c>
      <c r="D43" s="17">
        <f>SUM(E43,K43,L43,M43,N43)</f>
        <v>18885</v>
      </c>
      <c r="E43" s="18">
        <f t="shared" si="15"/>
        <v>18485</v>
      </c>
      <c r="F43" s="19">
        <f t="shared" si="12"/>
        <v>0.979</v>
      </c>
      <c r="G43" s="20">
        <v>17559</v>
      </c>
      <c r="H43" s="30">
        <v>480</v>
      </c>
      <c r="I43" s="30">
        <v>151</v>
      </c>
      <c r="J43" s="21">
        <v>295</v>
      </c>
      <c r="K43" s="22">
        <v>84</v>
      </c>
      <c r="L43" s="22">
        <v>76</v>
      </c>
      <c r="M43" s="22">
        <v>238</v>
      </c>
      <c r="N43" s="22">
        <v>2</v>
      </c>
      <c r="O43" s="59">
        <f t="shared" si="14"/>
        <v>0.93</v>
      </c>
    </row>
    <row r="44" spans="2:15" s="15" customFormat="1" ht="27" customHeight="1">
      <c r="B44" s="60"/>
      <c r="C44" s="23" t="s">
        <v>14</v>
      </c>
      <c r="D44" s="24">
        <f>SUM(E44,K44,L44,M44,N44)</f>
        <v>159</v>
      </c>
      <c r="E44" s="25">
        <f t="shared" si="15"/>
        <v>159</v>
      </c>
      <c r="F44" s="26">
        <f t="shared" si="12"/>
        <v>1</v>
      </c>
      <c r="G44" s="27">
        <v>159</v>
      </c>
      <c r="H44" s="28" t="s">
        <v>17</v>
      </c>
      <c r="I44" s="28" t="s">
        <v>17</v>
      </c>
      <c r="J44" s="53" t="s">
        <v>17</v>
      </c>
      <c r="K44" s="29" t="s">
        <v>17</v>
      </c>
      <c r="L44" s="29" t="s">
        <v>17</v>
      </c>
      <c r="M44" s="29" t="s">
        <v>17</v>
      </c>
      <c r="N44" s="29" t="s">
        <v>17</v>
      </c>
      <c r="O44" s="54">
        <f t="shared" si="14"/>
        <v>1</v>
      </c>
    </row>
    <row r="45" spans="2:15" s="15" customFormat="1" ht="27" customHeight="1">
      <c r="B45" s="60" t="s">
        <v>32</v>
      </c>
      <c r="C45" s="10" t="s">
        <v>7</v>
      </c>
      <c r="D45" s="11">
        <f>SUM(D46:D48)</f>
        <v>20342</v>
      </c>
      <c r="E45" s="12">
        <f t="shared" si="15"/>
        <v>19948</v>
      </c>
      <c r="F45" s="13">
        <f aca="true" t="shared" si="17" ref="F45:F52">ROUND(E45/D45,3)</f>
        <v>0.981</v>
      </c>
      <c r="G45" s="14">
        <f aca="true" t="shared" si="18" ref="G45:N45">SUM(G46:G48)</f>
        <v>18874</v>
      </c>
      <c r="H45" s="55">
        <f t="shared" si="18"/>
        <v>493</v>
      </c>
      <c r="I45" s="55">
        <f t="shared" si="18"/>
        <v>241</v>
      </c>
      <c r="J45" s="56">
        <f t="shared" si="18"/>
        <v>340</v>
      </c>
      <c r="K45" s="57">
        <f t="shared" si="18"/>
        <v>73</v>
      </c>
      <c r="L45" s="57">
        <f t="shared" si="18"/>
        <v>83</v>
      </c>
      <c r="M45" s="57">
        <f t="shared" si="18"/>
        <v>236</v>
      </c>
      <c r="N45" s="57">
        <f t="shared" si="18"/>
        <v>2</v>
      </c>
      <c r="O45" s="58">
        <f aca="true" t="shared" si="19" ref="O45:O52">+ROUND(G45/D45,3)</f>
        <v>0.928</v>
      </c>
    </row>
    <row r="46" spans="2:15" s="15" customFormat="1" ht="27" customHeight="1">
      <c r="B46" s="60"/>
      <c r="C46" s="16" t="s">
        <v>12</v>
      </c>
      <c r="D46" s="17">
        <f>SUM(E46,K46,L46,M46,N46)</f>
        <v>386</v>
      </c>
      <c r="E46" s="18">
        <f t="shared" si="15"/>
        <v>383</v>
      </c>
      <c r="F46" s="19">
        <f t="shared" si="17"/>
        <v>0.992</v>
      </c>
      <c r="G46" s="20">
        <v>373</v>
      </c>
      <c r="H46" s="30">
        <v>2</v>
      </c>
      <c r="I46" s="30">
        <v>8</v>
      </c>
      <c r="J46" s="21" t="s">
        <v>17</v>
      </c>
      <c r="K46" s="22" t="s">
        <v>17</v>
      </c>
      <c r="L46" s="22" t="s">
        <v>17</v>
      </c>
      <c r="M46" s="22">
        <v>3</v>
      </c>
      <c r="N46" s="22" t="s">
        <v>17</v>
      </c>
      <c r="O46" s="59">
        <f t="shared" si="19"/>
        <v>0.966</v>
      </c>
    </row>
    <row r="47" spans="2:15" s="15" customFormat="1" ht="27" customHeight="1">
      <c r="B47" s="60"/>
      <c r="C47" s="16" t="s">
        <v>13</v>
      </c>
      <c r="D47" s="17">
        <f>SUM(E47,K47,L47,M47,N47)</f>
        <v>19796</v>
      </c>
      <c r="E47" s="18">
        <f t="shared" si="15"/>
        <v>19405</v>
      </c>
      <c r="F47" s="19">
        <f t="shared" si="17"/>
        <v>0.98</v>
      </c>
      <c r="G47" s="20">
        <v>18342</v>
      </c>
      <c r="H47" s="30">
        <v>491</v>
      </c>
      <c r="I47" s="30">
        <v>233</v>
      </c>
      <c r="J47" s="21">
        <v>339</v>
      </c>
      <c r="K47" s="22">
        <v>73</v>
      </c>
      <c r="L47" s="22">
        <v>83</v>
      </c>
      <c r="M47" s="22">
        <v>233</v>
      </c>
      <c r="N47" s="22">
        <v>2</v>
      </c>
      <c r="O47" s="59">
        <f t="shared" si="19"/>
        <v>0.927</v>
      </c>
    </row>
    <row r="48" spans="2:15" s="15" customFormat="1" ht="27" customHeight="1">
      <c r="B48" s="60"/>
      <c r="C48" s="23" t="s">
        <v>14</v>
      </c>
      <c r="D48" s="24">
        <f>SUM(E48,K48,L48,M48,N48)</f>
        <v>160</v>
      </c>
      <c r="E48" s="25">
        <f t="shared" si="15"/>
        <v>160</v>
      </c>
      <c r="F48" s="26">
        <f t="shared" si="17"/>
        <v>1</v>
      </c>
      <c r="G48" s="27">
        <v>159</v>
      </c>
      <c r="H48" s="28" t="s">
        <v>17</v>
      </c>
      <c r="I48" s="28" t="s">
        <v>17</v>
      </c>
      <c r="J48" s="53">
        <v>1</v>
      </c>
      <c r="K48" s="29" t="s">
        <v>17</v>
      </c>
      <c r="L48" s="29" t="s">
        <v>17</v>
      </c>
      <c r="M48" s="29" t="s">
        <v>17</v>
      </c>
      <c r="N48" s="29" t="s">
        <v>17</v>
      </c>
      <c r="O48" s="54">
        <f t="shared" si="19"/>
        <v>0.994</v>
      </c>
    </row>
    <row r="49" spans="2:15" s="15" customFormat="1" ht="27" customHeight="1">
      <c r="B49" s="60" t="s">
        <v>33</v>
      </c>
      <c r="C49" s="10" t="s">
        <v>7</v>
      </c>
      <c r="D49" s="11">
        <f>SUM(D50:D52)</f>
        <v>19438</v>
      </c>
      <c r="E49" s="12">
        <f>SUM(G49:J49)</f>
        <v>19077</v>
      </c>
      <c r="F49" s="13">
        <f t="shared" si="17"/>
        <v>0.981</v>
      </c>
      <c r="G49" s="14">
        <f aca="true" t="shared" si="20" ref="G49:N49">SUM(G50:G52)</f>
        <v>18135</v>
      </c>
      <c r="H49" s="55">
        <f t="shared" si="20"/>
        <v>416</v>
      </c>
      <c r="I49" s="55">
        <f t="shared" si="20"/>
        <v>202</v>
      </c>
      <c r="J49" s="56">
        <f t="shared" si="20"/>
        <v>324</v>
      </c>
      <c r="K49" s="57">
        <f t="shared" si="20"/>
        <v>74</v>
      </c>
      <c r="L49" s="57">
        <f t="shared" si="20"/>
        <v>78</v>
      </c>
      <c r="M49" s="57">
        <f t="shared" si="20"/>
        <v>206</v>
      </c>
      <c r="N49" s="57">
        <f t="shared" si="20"/>
        <v>3</v>
      </c>
      <c r="O49" s="58">
        <f t="shared" si="19"/>
        <v>0.933</v>
      </c>
    </row>
    <row r="50" spans="2:15" s="15" customFormat="1" ht="27" customHeight="1">
      <c r="B50" s="60"/>
      <c r="C50" s="16" t="s">
        <v>12</v>
      </c>
      <c r="D50" s="17">
        <f>SUM(E50,K50,L50,M50,N50)</f>
        <v>409</v>
      </c>
      <c r="E50" s="18">
        <f>SUM(G50:J50)</f>
        <v>407</v>
      </c>
      <c r="F50" s="19">
        <f t="shared" si="17"/>
        <v>0.995</v>
      </c>
      <c r="G50" s="20">
        <v>407</v>
      </c>
      <c r="H50" s="30" t="s">
        <v>34</v>
      </c>
      <c r="I50" s="30" t="s">
        <v>34</v>
      </c>
      <c r="J50" s="21" t="s">
        <v>17</v>
      </c>
      <c r="K50" s="22">
        <v>1</v>
      </c>
      <c r="L50" s="22" t="s">
        <v>17</v>
      </c>
      <c r="M50" s="22">
        <v>1</v>
      </c>
      <c r="N50" s="22" t="s">
        <v>17</v>
      </c>
      <c r="O50" s="59">
        <f t="shared" si="19"/>
        <v>0.995</v>
      </c>
    </row>
    <row r="51" spans="2:15" s="15" customFormat="1" ht="27" customHeight="1">
      <c r="B51" s="60"/>
      <c r="C51" s="16" t="s">
        <v>13</v>
      </c>
      <c r="D51" s="17">
        <f>SUM(E51,K51,L51,M51,N51)</f>
        <v>18869</v>
      </c>
      <c r="E51" s="18">
        <f>SUM(G51:J51)</f>
        <v>18510</v>
      </c>
      <c r="F51" s="19">
        <f t="shared" si="17"/>
        <v>0.981</v>
      </c>
      <c r="G51" s="20">
        <v>17568</v>
      </c>
      <c r="H51" s="30">
        <v>416</v>
      </c>
      <c r="I51" s="30">
        <v>202</v>
      </c>
      <c r="J51" s="21">
        <v>324</v>
      </c>
      <c r="K51" s="22">
        <v>73</v>
      </c>
      <c r="L51" s="22">
        <v>78</v>
      </c>
      <c r="M51" s="22">
        <v>205</v>
      </c>
      <c r="N51" s="22">
        <v>3</v>
      </c>
      <c r="O51" s="59">
        <f t="shared" si="19"/>
        <v>0.931</v>
      </c>
    </row>
    <row r="52" spans="2:15" s="15" customFormat="1" ht="27" customHeight="1">
      <c r="B52" s="60"/>
      <c r="C52" s="23" t="s">
        <v>14</v>
      </c>
      <c r="D52" s="24">
        <f>SUM(E52,K52,L52,M52,N52)</f>
        <v>160</v>
      </c>
      <c r="E52" s="25">
        <f>SUM(G52:J52)</f>
        <v>160</v>
      </c>
      <c r="F52" s="26">
        <f t="shared" si="17"/>
        <v>1</v>
      </c>
      <c r="G52" s="27">
        <v>160</v>
      </c>
      <c r="H52" s="28" t="s">
        <v>17</v>
      </c>
      <c r="I52" s="28" t="s">
        <v>17</v>
      </c>
      <c r="J52" s="53" t="s">
        <v>34</v>
      </c>
      <c r="K52" s="29" t="s">
        <v>17</v>
      </c>
      <c r="L52" s="29" t="s">
        <v>17</v>
      </c>
      <c r="M52" s="29" t="s">
        <v>17</v>
      </c>
      <c r="N52" s="29" t="s">
        <v>17</v>
      </c>
      <c r="O52" s="54">
        <f t="shared" si="19"/>
        <v>1</v>
      </c>
    </row>
    <row r="53" spans="2:15" s="36" customFormat="1" ht="10.5" customHeight="1">
      <c r="B53" s="45"/>
      <c r="C53" s="46"/>
      <c r="D53" s="47"/>
      <c r="E53" s="47"/>
      <c r="F53" s="48"/>
      <c r="G53" s="49"/>
      <c r="H53" s="50"/>
      <c r="I53" s="50"/>
      <c r="J53" s="50"/>
      <c r="K53" s="50"/>
      <c r="L53" s="50"/>
      <c r="M53" s="50"/>
      <c r="N53" s="50"/>
      <c r="O53" s="48"/>
    </row>
    <row r="54" spans="2:12" ht="26.25" customHeight="1">
      <c r="B54" s="31" t="s">
        <v>27</v>
      </c>
      <c r="C54" s="51"/>
      <c r="L54" s="52" t="s">
        <v>31</v>
      </c>
    </row>
    <row r="55" ht="13.5">
      <c r="M55" s="52"/>
    </row>
  </sheetData>
  <sheetProtection/>
  <mergeCells count="20">
    <mergeCell ref="B25:B28"/>
    <mergeCell ref="B3:C4"/>
    <mergeCell ref="B33:B36"/>
    <mergeCell ref="B29:B32"/>
    <mergeCell ref="D3:D4"/>
    <mergeCell ref="B21:B24"/>
    <mergeCell ref="B17:B20"/>
    <mergeCell ref="B9:B12"/>
    <mergeCell ref="B13:B16"/>
    <mergeCell ref="B5:B8"/>
    <mergeCell ref="B49:B52"/>
    <mergeCell ref="B45:B48"/>
    <mergeCell ref="O3:O4"/>
    <mergeCell ref="E3:J3"/>
    <mergeCell ref="K3:K4"/>
    <mergeCell ref="L3:L4"/>
    <mergeCell ref="M3:M4"/>
    <mergeCell ref="N3:N4"/>
    <mergeCell ref="B41:B44"/>
    <mergeCell ref="B37:B40"/>
  </mergeCells>
  <printOptions/>
  <pageMargins left="0.56" right="0.48" top="1.01" bottom="0" header="0.5118110236220472" footer="0.629921259842519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2011-02-18T04:22:15Z</cp:lastPrinted>
  <dcterms:created xsi:type="dcterms:W3CDTF">2007-02-26T08:20:42Z</dcterms:created>
  <dcterms:modified xsi:type="dcterms:W3CDTF">2012-02-15T05:06:47Z</dcterms:modified>
  <cp:category/>
  <cp:version/>
  <cp:contentType/>
  <cp:contentStatus/>
</cp:coreProperties>
</file>