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8780" windowHeight="2490" activeTab="0"/>
  </bookViews>
  <sheets>
    <sheet name="２７有害捕獲" sheetId="1" r:id="rId1"/>
    <sheet name="年度別" sheetId="2" r:id="rId2"/>
    <sheet name="２６有害捕獲" sheetId="3" r:id="rId3"/>
    <sheet name="２５有害捕獲" sheetId="4" r:id="rId4"/>
    <sheet name="２４有害捕獲" sheetId="5" r:id="rId5"/>
    <sheet name="２３有害捕獲" sheetId="6" r:id="rId6"/>
    <sheet name="２２有害捕獲" sheetId="7" r:id="rId7"/>
    <sheet name="２１有害捕獲" sheetId="8" r:id="rId8"/>
    <sheet name="２０有害捕獲" sheetId="9" r:id="rId9"/>
    <sheet name="１９有害捕獲" sheetId="10" r:id="rId10"/>
    <sheet name="１８有害捕獲" sheetId="11" r:id="rId11"/>
    <sheet name="１７有害捕獲" sheetId="12" r:id="rId12"/>
    <sheet name="１６有害捕獲" sheetId="13" r:id="rId13"/>
  </sheets>
  <definedNames>
    <definedName name="_xlnm.Print_Area" localSheetId="11">'１７有害捕獲'!$A$1:$Q$57</definedName>
    <definedName name="_xlnm.Print_Area" localSheetId="10">'１８有害捕獲'!$A$1:$Q$57</definedName>
    <definedName name="_xlnm.Print_Area" localSheetId="9">'１９有害捕獲'!$A$1:$Q$57</definedName>
    <definedName name="_xlnm.Print_Area" localSheetId="8">'２０有害捕獲'!$A$1:$Q$57</definedName>
    <definedName name="_xlnm.Print_Area" localSheetId="7">'２１有害捕獲'!$A$1:$R$41</definedName>
    <definedName name="_xlnm.Print_Area" localSheetId="6">'２２有害捕獲'!$A$1:$S$42</definedName>
    <definedName name="_xlnm.Print_Area" localSheetId="5">'２３有害捕獲'!$A$1:$S$42</definedName>
    <definedName name="_xlnm.Print_Area" localSheetId="4">'２４有害捕獲'!$A$1:$S$42</definedName>
    <definedName name="_xlnm.Print_Area" localSheetId="3">'２５有害捕獲'!$A$1:$S$42</definedName>
    <definedName name="_xlnm.Print_Area" localSheetId="2">'２６有害捕獲'!$A$1:$S$43</definedName>
    <definedName name="_xlnm.Print_Area" localSheetId="0">'２７有害捕獲'!$A$1:$S$43</definedName>
  </definedNames>
  <calcPr fullCalcOnLoad="1"/>
</workbook>
</file>

<file path=xl/comments1.xml><?xml version="1.0" encoding="utf-8"?>
<comments xmlns="http://schemas.openxmlformats.org/spreadsheetml/2006/main">
  <authors>
    <author>白岩 光司８６</author>
  </authors>
  <commentList>
    <comment ref="L9" authorId="0">
      <text>
        <r>
          <rPr>
            <b/>
            <sz val="9"/>
            <rFont val="ＭＳ Ｐゴシック"/>
            <family val="3"/>
          </rPr>
          <t>アオサギ:７５
チュウサギ：１５</t>
        </r>
      </text>
    </comment>
    <comment ref="L10" authorId="0">
      <text>
        <r>
          <rPr>
            <b/>
            <sz val="9"/>
            <rFont val="ＭＳ Ｐゴシック"/>
            <family val="3"/>
          </rPr>
          <t>アオサギ</t>
        </r>
        <r>
          <rPr>
            <sz val="9"/>
            <rFont val="ＭＳ Ｐゴシック"/>
            <family val="3"/>
          </rPr>
          <t xml:space="preserve">
</t>
        </r>
      </text>
    </comment>
    <comment ref="L13" authorId="0">
      <text>
        <r>
          <rPr>
            <b/>
            <sz val="9"/>
            <rFont val="ＭＳ Ｐゴシック"/>
            <family val="3"/>
          </rPr>
          <t>アオサギ</t>
        </r>
      </text>
    </comment>
    <comment ref="L15" authorId="0">
      <text>
        <r>
          <rPr>
            <b/>
            <sz val="9"/>
            <rFont val="ＭＳ Ｐゴシック"/>
            <family val="3"/>
          </rPr>
          <t>アオサギ</t>
        </r>
      </text>
    </comment>
    <comment ref="L19" authorId="0">
      <text>
        <r>
          <rPr>
            <b/>
            <sz val="9"/>
            <rFont val="ＭＳ Ｐゴシック"/>
            <family val="3"/>
          </rPr>
          <t>アオサギ：１２０
チュウサギ：１５</t>
        </r>
        <r>
          <rPr>
            <sz val="9"/>
            <rFont val="ＭＳ Ｐゴシック"/>
            <family val="3"/>
          </rPr>
          <t xml:space="preserve">
</t>
        </r>
      </text>
    </comment>
    <comment ref="L20" authorId="0">
      <text>
        <r>
          <rPr>
            <b/>
            <sz val="9"/>
            <rFont val="ＭＳ Ｐゴシック"/>
            <family val="3"/>
          </rPr>
          <t>アオサギ：９</t>
        </r>
      </text>
    </comment>
  </commentList>
</comments>
</file>

<file path=xl/comments2.xml><?xml version="1.0" encoding="utf-8"?>
<comments xmlns="http://schemas.openxmlformats.org/spreadsheetml/2006/main">
  <authors>
    <author>群馬県庁</author>
  </authors>
  <commentList>
    <comment ref="T14" authorId="0">
      <text>
        <r>
          <rPr>
            <b/>
            <sz val="9"/>
            <rFont val="ＭＳ Ｐゴシック"/>
            <family val="3"/>
          </rPr>
          <t>群馬県庁:</t>
        </r>
        <r>
          <rPr>
            <sz val="9"/>
            <rFont val="ＭＳ Ｐゴシック"/>
            <family val="3"/>
          </rPr>
          <t>H22.2.18（高山）
カワウの議会資料、鳥獣捕獲（S40～H18）によるとH13に145羽の捕獲がある。過去の鳥獣統計では0となっているが、この年代に0は考えにくいため、今後145羽の捕獲があったとみなす。
　ただし、既に作成された資料、特に環境省作成の鳥獣統計上は0で計上されており、修正は困難なため、H21年度以降のものについてこの数字を採用するものとする。</t>
        </r>
      </text>
    </comment>
  </commentList>
</comments>
</file>

<file path=xl/comments8.xml><?xml version="1.0" encoding="utf-8"?>
<comments xmlns="http://schemas.openxmlformats.org/spreadsheetml/2006/main">
  <authors>
    <author>高山 広規０９</author>
  </authors>
  <commentList>
    <comment ref="Q26" authorId="0">
      <text>
        <r>
          <rPr>
            <sz val="12"/>
            <rFont val="ＭＳ Ｐゴシック"/>
            <family val="3"/>
          </rPr>
          <t>ノイヌ：15,0</t>
        </r>
      </text>
    </comment>
    <comment ref="Q34" authorId="0">
      <text>
        <r>
          <rPr>
            <sz val="12"/>
            <rFont val="ＭＳ Ｐゴシック"/>
            <family val="3"/>
          </rPr>
          <t>ノウサギ：2,2
モモンガ：1,1</t>
        </r>
      </text>
    </comment>
    <comment ref="P35" authorId="0">
      <text>
        <r>
          <rPr>
            <sz val="12"/>
            <rFont val="ＭＳ Ｐゴシック"/>
            <family val="3"/>
          </rPr>
          <t>H21は個体数調整で9頭の許可のうち、H21年度中に捕獲したのは8頭</t>
        </r>
      </text>
    </comment>
    <comment ref="B34" authorId="0">
      <text>
        <r>
          <rPr>
            <sz val="12"/>
            <rFont val="ＭＳ Ｐゴシック"/>
            <family val="3"/>
          </rPr>
          <t>吾妻環境森林事務所の許可件数はクマの許可頭数と同じと見なす。</t>
        </r>
      </text>
    </comment>
  </commentList>
</comments>
</file>

<file path=xl/sharedStrings.xml><?xml version="1.0" encoding="utf-8"?>
<sst xmlns="http://schemas.openxmlformats.org/spreadsheetml/2006/main" count="873" uniqueCount="224">
  <si>
    <t>（１）　鳥類</t>
  </si>
  <si>
    <t>市町村数</t>
  </si>
  <si>
    <t>カモ類</t>
  </si>
  <si>
    <t>キジバト</t>
  </si>
  <si>
    <t>ムクドリ</t>
  </si>
  <si>
    <t>カラス類</t>
  </si>
  <si>
    <t>ドバト</t>
  </si>
  <si>
    <t>スズメ類</t>
  </si>
  <si>
    <t>合計</t>
  </si>
  <si>
    <t>（２）　獣類</t>
  </si>
  <si>
    <t>ノウサギ</t>
  </si>
  <si>
    <t>クマ</t>
  </si>
  <si>
    <t>タヌキ</t>
  </si>
  <si>
    <t>キツネ</t>
  </si>
  <si>
    <t>オスジカ</t>
  </si>
  <si>
    <t>メスジカ</t>
  </si>
  <si>
    <t>サル</t>
  </si>
  <si>
    <t>駆　除</t>
  </si>
  <si>
    <t>中之条</t>
  </si>
  <si>
    <t>桐　　生</t>
  </si>
  <si>
    <t>高　　崎</t>
  </si>
  <si>
    <t>渋　　川</t>
  </si>
  <si>
    <t>藤　　岡</t>
  </si>
  <si>
    <t>富　　岡</t>
  </si>
  <si>
    <t>沼　　田</t>
  </si>
  <si>
    <t>合　　計</t>
  </si>
  <si>
    <t>合    計</t>
  </si>
  <si>
    <t>沼　　田</t>
  </si>
  <si>
    <t>富    岡</t>
  </si>
  <si>
    <t>高    崎</t>
  </si>
  <si>
    <t>行政事務所</t>
  </si>
  <si>
    <t>行政事務所</t>
  </si>
  <si>
    <t>捕　獲　許　可　数（上　段）　・　捕　獲　数（下　段）</t>
  </si>
  <si>
    <t>捕　獲　許　可　数（上　段）　・　捕　獲　数（下　段）</t>
  </si>
  <si>
    <t>許可件数</t>
  </si>
  <si>
    <t>許可件数</t>
  </si>
  <si>
    <t>ヒヨドリ</t>
  </si>
  <si>
    <t>（１）　鳥類</t>
  </si>
  <si>
    <t>年　度</t>
  </si>
  <si>
    <t>カラス類</t>
  </si>
  <si>
    <t>スズメ類</t>
  </si>
  <si>
    <t>カワウ</t>
  </si>
  <si>
    <t>計</t>
  </si>
  <si>
    <t>前年比</t>
  </si>
  <si>
    <t>前年比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</si>
  <si>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</si>
  <si>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</si>
  <si>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</si>
  <si>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</si>
  <si>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</si>
  <si>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</si>
  <si>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</si>
  <si>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平成１１年</t>
  </si>
  <si>
    <t>平成１２年</t>
  </si>
  <si>
    <t>平成１３年</t>
  </si>
  <si>
    <t>平成１４年</t>
  </si>
  <si>
    <t>平成１５年</t>
  </si>
  <si>
    <t>（２）　獣類</t>
  </si>
  <si>
    <t>クマ</t>
  </si>
  <si>
    <t>キツネ</t>
  </si>
  <si>
    <t>タヌキ</t>
  </si>
  <si>
    <t>オスジカ（シカ）</t>
  </si>
  <si>
    <t>メスジカ</t>
  </si>
  <si>
    <t>サル</t>
  </si>
  <si>
    <t>イノシシ</t>
  </si>
  <si>
    <t>ハクビシン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</si>
  <si>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</si>
  <si>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</si>
  <si>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</si>
  <si>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</si>
  <si>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</si>
  <si>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</si>
  <si>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</si>
  <si>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</si>
  <si>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</si>
  <si>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</si>
  <si>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</si>
  <si>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</si>
  <si>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平成１６年</t>
  </si>
  <si>
    <t>カモ類</t>
  </si>
  <si>
    <t>ムクドリ</t>
  </si>
  <si>
    <t>キジバト</t>
  </si>
  <si>
    <t>ドバト</t>
  </si>
  <si>
    <t>ヒヨドリ</t>
  </si>
  <si>
    <t>キジ</t>
  </si>
  <si>
    <t>ゴイサギ</t>
  </si>
  <si>
    <t>モグラ</t>
  </si>
  <si>
    <t>*平成１６年度、カワウについては１３羽を捕獲していますが、学術研究のため記載していません。</t>
  </si>
  <si>
    <t>太　 田</t>
  </si>
  <si>
    <t>伊勢崎</t>
  </si>
  <si>
    <t>館　 林</t>
  </si>
  <si>
    <t>前　 橋</t>
  </si>
  <si>
    <t>キジ</t>
  </si>
  <si>
    <t>ゴイザギ</t>
  </si>
  <si>
    <t>１２　特別許可（有害捕獲）による鳥獣捕獲に関する事項（１６年度）</t>
  </si>
  <si>
    <t>イノシシ</t>
  </si>
  <si>
    <t>ハクビシン</t>
  </si>
  <si>
    <t>モグラ</t>
  </si>
  <si>
    <t>平成１７年</t>
  </si>
  <si>
    <t>平成１７年</t>
  </si>
  <si>
    <t>環境森林事務所</t>
  </si>
  <si>
    <t>吾　　妻</t>
  </si>
  <si>
    <t>利　　根</t>
  </si>
  <si>
    <t>※ カラス卵予察捕獲での実績を含む</t>
  </si>
  <si>
    <t>１２　特別許可（有害捕獲）による鳥獣捕獲に関する事項（１８年度）</t>
  </si>
  <si>
    <t>（１）　鳥類</t>
  </si>
  <si>
    <t>許可件数</t>
  </si>
  <si>
    <t>駆　除</t>
  </si>
  <si>
    <t>捕　獲　許　可　数（上　段）　・　捕　獲　数（下　段）</t>
  </si>
  <si>
    <t>市町村数</t>
  </si>
  <si>
    <t>カモ類</t>
  </si>
  <si>
    <t>ムクドリ</t>
  </si>
  <si>
    <t>キジバト</t>
  </si>
  <si>
    <t>ドバト</t>
  </si>
  <si>
    <t>ヒヨドリ</t>
  </si>
  <si>
    <t>合計</t>
  </si>
  <si>
    <t>渋　　川</t>
  </si>
  <si>
    <t>高　　崎</t>
  </si>
  <si>
    <t>藤　　岡</t>
  </si>
  <si>
    <t>富　　岡</t>
  </si>
  <si>
    <t>桐　　生</t>
  </si>
  <si>
    <t>合　　計</t>
  </si>
  <si>
    <t>（２）　獣類</t>
  </si>
  <si>
    <t>クマ</t>
  </si>
  <si>
    <t>キツネ</t>
  </si>
  <si>
    <t>タヌキ</t>
  </si>
  <si>
    <t>ノウサギ</t>
  </si>
  <si>
    <t>オスジカ</t>
  </si>
  <si>
    <t>メスジカ</t>
  </si>
  <si>
    <t>サル</t>
  </si>
  <si>
    <t>アナグマ</t>
  </si>
  <si>
    <t>ハクビシン</t>
  </si>
  <si>
    <t>モグラ</t>
  </si>
  <si>
    <t>アライグマ</t>
  </si>
  <si>
    <t>高    崎</t>
  </si>
  <si>
    <t>富    岡</t>
  </si>
  <si>
    <t>合    計</t>
  </si>
  <si>
    <t>１２　特別許可（有害捕獲）による鳥獣捕獲に関する事項（１７年度）</t>
  </si>
  <si>
    <t>ムクドリ</t>
  </si>
  <si>
    <t>キジバト</t>
  </si>
  <si>
    <t>ドバト</t>
  </si>
  <si>
    <t>ヒヨドリ</t>
  </si>
  <si>
    <t>※ 乙免許を必要としない捕獲方法130件</t>
  </si>
  <si>
    <t>※ カラス手捕り74個（卵）、7羽（ヒナ）…許可数・捕獲数とも表中の数字に含んでいる</t>
  </si>
  <si>
    <t>平成１８年</t>
  </si>
  <si>
    <t>平成１８年</t>
  </si>
  <si>
    <t>ムクドリ</t>
  </si>
  <si>
    <t>キジバト</t>
  </si>
  <si>
    <t>ドバト</t>
  </si>
  <si>
    <t>ヒヨドリ</t>
  </si>
  <si>
    <t>１２　特別許可（有害捕獲）による鳥獣捕獲に関する事項（１９年度）</t>
  </si>
  <si>
    <t>カモシカ</t>
  </si>
  <si>
    <t>平成１９年</t>
  </si>
  <si>
    <t>平成１９年</t>
  </si>
  <si>
    <t>ムクドリ</t>
  </si>
  <si>
    <t>キジバト</t>
  </si>
  <si>
    <t>ドバト</t>
  </si>
  <si>
    <t>ヒヨドリ</t>
  </si>
  <si>
    <t>カモシカ</t>
  </si>
  <si>
    <t>渋　　川</t>
  </si>
  <si>
    <t>太　　田</t>
  </si>
  <si>
    <t>館　　林</t>
  </si>
  <si>
    <t>前　　橋</t>
  </si>
  <si>
    <t>カワウ</t>
  </si>
  <si>
    <t>イタチ</t>
  </si>
  <si>
    <t>平成２０年</t>
  </si>
  <si>
    <t>捕獲許可数</t>
  </si>
  <si>
    <t>捕獲数</t>
  </si>
  <si>
    <t>（３）　鳥獣合計</t>
  </si>
  <si>
    <t>平成２０年</t>
  </si>
  <si>
    <t>参考７　　年度別有害鳥獣捕獲による鳥獣捕獲数</t>
  </si>
  <si>
    <t>１２　特別許可（有害捕獲）による鳥獣捕獲に関する事項（H20）</t>
  </si>
  <si>
    <t>ムクドリ</t>
  </si>
  <si>
    <t>キジバト</t>
  </si>
  <si>
    <t>ドバト</t>
  </si>
  <si>
    <t>ヒヨドリ</t>
  </si>
  <si>
    <t>カワウ</t>
  </si>
  <si>
    <t>イタチ</t>
  </si>
  <si>
    <t>西　　部</t>
  </si>
  <si>
    <t>事務所</t>
  </si>
  <si>
    <t>平成２１年</t>
  </si>
  <si>
    <t>平成２１年</t>
  </si>
  <si>
    <t>アナグマ</t>
  </si>
  <si>
    <t>アライグマ</t>
  </si>
  <si>
    <t>１２　特別許可（有害捕獲・個体数調整）による鳥獣捕獲に関する事項（H21）</t>
  </si>
  <si>
    <t>その他</t>
  </si>
  <si>
    <t>平成２２年</t>
  </si>
  <si>
    <t>平成２２年</t>
  </si>
  <si>
    <t>１２　特別許可（有害捕獲・個体数調整）による鳥獣捕獲に関する事項（H22）</t>
  </si>
  <si>
    <t>※吾妻環境森林事務所のカモシカについて、H21年度の捕獲許可は許可期間が年度をまたいでおり、許可頭数ののうち1頭はH22年度になってから捕獲したため、H22の許可頭数より捕獲数が多くなっている。</t>
  </si>
  <si>
    <t>ムクドリ</t>
  </si>
  <si>
    <t>キジバト</t>
  </si>
  <si>
    <t>ドバト</t>
  </si>
  <si>
    <t>ヒヨドリ</t>
  </si>
  <si>
    <t>カワウ</t>
  </si>
  <si>
    <t>クマ</t>
  </si>
  <si>
    <t>キツネ</t>
  </si>
  <si>
    <t>タヌキ</t>
  </si>
  <si>
    <t>イタチ</t>
  </si>
  <si>
    <t>オスジカ</t>
  </si>
  <si>
    <t>メスジカ</t>
  </si>
  <si>
    <t>サル</t>
  </si>
  <si>
    <t>アナグマ</t>
  </si>
  <si>
    <t>ハクビシン</t>
  </si>
  <si>
    <t>モグラ</t>
  </si>
  <si>
    <t>アライグマ</t>
  </si>
  <si>
    <t>カモシカ</t>
  </si>
  <si>
    <t>１２　特別許可（有害捕獲・個体数調整）による鳥獣捕獲に関する事項（H23）</t>
  </si>
  <si>
    <t>平成２３年</t>
  </si>
  <si>
    <t>平成２３年</t>
  </si>
  <si>
    <t>平成２４年</t>
  </si>
  <si>
    <t>平成２４年</t>
  </si>
  <si>
    <t>１２　特別許可（有害捕獲・個体数調整）による鳥獣捕獲に関する事項（H24）</t>
  </si>
  <si>
    <t>※獣類のその他は、ノウサギである。</t>
  </si>
  <si>
    <t>１２　特別許可（有害捕獲・個体数調整）による鳥獣捕獲に関する事項（H25）</t>
  </si>
  <si>
    <t>平成２５年</t>
  </si>
  <si>
    <t>平成２５年</t>
  </si>
  <si>
    <t>平成２６年</t>
  </si>
  <si>
    <t>平成２６年</t>
  </si>
  <si>
    <t>１２　特別許可（有害捕獲・個体数調整）による鳥獣捕獲に関する事項（H26）  ※群馬県及び市町村許可分のみ</t>
  </si>
  <si>
    <t>平成２７年</t>
  </si>
  <si>
    <t>平成２７年</t>
  </si>
  <si>
    <t>ノウサギ</t>
  </si>
  <si>
    <t>１２　特別許可（有害捕獲・個体数調整）による鳥獣捕獲に関する事項（H27）  ※群馬県及び市町村許可分のみ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</si>
</sst>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4" fillId="0" borderId="21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 shrinkToFit="1"/>
    </xf>
    <xf numFmtId="178" fontId="0" fillId="0" borderId="21" xfId="0" applyNumberFormat="1" applyBorder="1" applyAlignment="1">
      <alignment vertical="center"/>
    </xf>
    <xf numFmtId="178" fontId="0" fillId="0" borderId="21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 shrinkToFit="1"/>
    </xf>
    <xf numFmtId="176" fontId="0" fillId="0" borderId="23" xfId="0" applyNumberFormat="1" applyBorder="1" applyAlignment="1">
      <alignment horizontal="right" vertical="center" shrinkToFit="1"/>
    </xf>
    <xf numFmtId="178" fontId="4" fillId="0" borderId="21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 shrinkToFit="1"/>
    </xf>
    <xf numFmtId="178" fontId="0" fillId="0" borderId="21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25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176" fontId="0" fillId="0" borderId="25" xfId="0" applyNumberForma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23" xfId="0" applyNumberFormat="1" applyFont="1" applyBorder="1" applyAlignment="1">
      <alignment horizontal="right" vertical="center" shrinkToFit="1"/>
    </xf>
    <xf numFmtId="176" fontId="0" fillId="0" borderId="0" xfId="0" applyNumberFormat="1" applyAlignment="1">
      <alignment/>
    </xf>
    <xf numFmtId="0" fontId="0" fillId="0" borderId="14" xfId="0" applyFill="1" applyBorder="1" applyAlignment="1">
      <alignment horizontal="center" vertical="center" shrinkToFit="1"/>
    </xf>
    <xf numFmtId="176" fontId="0" fillId="33" borderId="12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Fill="1" applyBorder="1" applyAlignment="1">
      <alignment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right" vertical="center" shrinkToFit="1"/>
    </xf>
    <xf numFmtId="178" fontId="0" fillId="0" borderId="21" xfId="0" applyNumberForma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30" xfId="0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31" xfId="0" applyNumberFormat="1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176" fontId="0" fillId="0" borderId="32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34" borderId="31" xfId="0" applyNumberFormat="1" applyFill="1" applyBorder="1" applyAlignment="1">
      <alignment vertical="center" shrinkToFit="1"/>
    </xf>
    <xf numFmtId="0" fontId="0" fillId="34" borderId="22" xfId="0" applyFill="1" applyBorder="1" applyAlignment="1">
      <alignment vertical="center" shrinkToFit="1"/>
    </xf>
    <xf numFmtId="0" fontId="1" fillId="0" borderId="27" xfId="0" applyFont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6" fontId="0" fillId="33" borderId="31" xfId="0" applyNumberFormat="1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176" fontId="0" fillId="33" borderId="12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76" fontId="0" fillId="33" borderId="12" xfId="0" applyNumberFormat="1" applyFill="1" applyBorder="1" applyAlignment="1">
      <alignment vertical="center" shrinkToFit="1"/>
    </xf>
    <xf numFmtId="176" fontId="0" fillId="33" borderId="14" xfId="0" applyNumberFormat="1" applyFill="1" applyBorder="1" applyAlignment="1">
      <alignment vertical="center" shrinkToFit="1"/>
    </xf>
    <xf numFmtId="176" fontId="0" fillId="33" borderId="14" xfId="0" applyNumberFormat="1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176" fontId="0" fillId="0" borderId="32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5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43"/>
  <sheetViews>
    <sheetView tabSelected="1" zoomScale="85" zoomScaleNormal="85" zoomScalePageLayoutView="0" workbookViewId="0" topLeftCell="A1">
      <selection activeCell="N11" sqref="N11"/>
    </sheetView>
  </sheetViews>
  <sheetFormatPr defaultColWidth="9.00390625" defaultRowHeight="13.5"/>
  <cols>
    <col min="9" max="9" width="9.00390625" style="51" customWidth="1"/>
  </cols>
  <sheetData>
    <row r="1" spans="1:17" ht="19.5" customHeight="1">
      <c r="A1" s="1" t="s">
        <v>223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168</v>
      </c>
      <c r="Q2" s="2"/>
    </row>
    <row r="3" spans="1:18" ht="19.5" customHeight="1">
      <c r="A3" s="83" t="s">
        <v>179</v>
      </c>
      <c r="B3" s="85" t="s">
        <v>106</v>
      </c>
      <c r="C3" s="95" t="s">
        <v>109</v>
      </c>
      <c r="D3" s="87" t="s">
        <v>108</v>
      </c>
      <c r="E3" s="88"/>
      <c r="F3" s="88"/>
      <c r="G3" s="88"/>
      <c r="H3" s="88"/>
      <c r="I3" s="88"/>
      <c r="J3" s="88"/>
      <c r="K3" s="88"/>
      <c r="L3" s="88"/>
      <c r="M3" s="89"/>
      <c r="N3" s="57"/>
      <c r="O3" s="68"/>
      <c r="P3" s="83" t="s">
        <v>100</v>
      </c>
      <c r="Q3" s="85" t="s">
        <v>106</v>
      </c>
      <c r="R3" s="61" t="s">
        <v>166</v>
      </c>
    </row>
    <row r="4" spans="1:18" ht="19.5" customHeight="1">
      <c r="A4" s="84"/>
      <c r="B4" s="86"/>
      <c r="C4" s="96"/>
      <c r="D4" s="5" t="s">
        <v>110</v>
      </c>
      <c r="E4" s="5" t="s">
        <v>4</v>
      </c>
      <c r="F4" s="5" t="s">
        <v>3</v>
      </c>
      <c r="G4" s="5" t="s">
        <v>39</v>
      </c>
      <c r="H4" s="5" t="s">
        <v>40</v>
      </c>
      <c r="I4" s="5" t="s">
        <v>6</v>
      </c>
      <c r="J4" s="16" t="s">
        <v>36</v>
      </c>
      <c r="K4" s="17" t="s">
        <v>41</v>
      </c>
      <c r="L4" s="17" t="s">
        <v>185</v>
      </c>
      <c r="M4" s="12" t="s">
        <v>115</v>
      </c>
      <c r="N4" s="66"/>
      <c r="O4" s="69"/>
      <c r="P4" s="84"/>
      <c r="Q4" s="86"/>
      <c r="R4" s="62" t="s">
        <v>167</v>
      </c>
    </row>
    <row r="5" spans="1:18" ht="19.5" customHeight="1">
      <c r="A5" s="74" t="s">
        <v>159</v>
      </c>
      <c r="B5" s="90">
        <v>73</v>
      </c>
      <c r="C5" s="80">
        <v>6</v>
      </c>
      <c r="D5" s="6">
        <v>100</v>
      </c>
      <c r="E5" s="6">
        <v>200</v>
      </c>
      <c r="F5" s="6">
        <v>50</v>
      </c>
      <c r="G5" s="6">
        <v>990</v>
      </c>
      <c r="H5" s="6">
        <v>400</v>
      </c>
      <c r="I5" s="6">
        <v>1520</v>
      </c>
      <c r="J5" s="6">
        <v>30</v>
      </c>
      <c r="K5" s="6">
        <v>30</v>
      </c>
      <c r="L5" s="6">
        <v>0</v>
      </c>
      <c r="M5" s="7">
        <f aca="true" t="shared" si="0" ref="M5:M20">SUM(D5:L5)</f>
        <v>3320</v>
      </c>
      <c r="N5" s="66"/>
      <c r="O5" s="69"/>
      <c r="P5" s="74" t="s">
        <v>159</v>
      </c>
      <c r="Q5" s="90">
        <f>B5+B26</f>
        <v>190</v>
      </c>
      <c r="R5" s="7">
        <f aca="true" t="shared" si="1" ref="R5:R20">M5+R26</f>
        <v>9257</v>
      </c>
    </row>
    <row r="6" spans="1:18" ht="19.5" customHeight="1">
      <c r="A6" s="75"/>
      <c r="B6" s="91"/>
      <c r="C6" s="92"/>
      <c r="D6" s="9">
        <v>51</v>
      </c>
      <c r="E6" s="9">
        <v>111</v>
      </c>
      <c r="F6" s="9">
        <v>20</v>
      </c>
      <c r="G6" s="9">
        <v>436</v>
      </c>
      <c r="H6" s="9">
        <v>330</v>
      </c>
      <c r="I6" s="9">
        <v>590</v>
      </c>
      <c r="J6" s="9">
        <v>15</v>
      </c>
      <c r="K6" s="9">
        <v>27</v>
      </c>
      <c r="L6" s="9">
        <v>0</v>
      </c>
      <c r="M6" s="10">
        <f t="shared" si="0"/>
        <v>1580</v>
      </c>
      <c r="N6" s="66"/>
      <c r="O6" s="69"/>
      <c r="P6" s="75"/>
      <c r="Q6" s="91"/>
      <c r="R6" s="10">
        <f t="shared" si="1"/>
        <v>2484</v>
      </c>
    </row>
    <row r="7" spans="1:18" ht="19.5" customHeight="1">
      <c r="A7" s="74" t="s">
        <v>178</v>
      </c>
      <c r="B7" s="90">
        <v>42</v>
      </c>
      <c r="C7" s="80">
        <v>2</v>
      </c>
      <c r="D7" s="6">
        <v>510</v>
      </c>
      <c r="E7" s="6">
        <v>300</v>
      </c>
      <c r="F7" s="6">
        <v>0</v>
      </c>
      <c r="G7" s="6">
        <v>5893</v>
      </c>
      <c r="H7" s="6">
        <v>1710</v>
      </c>
      <c r="I7" s="6">
        <v>960</v>
      </c>
      <c r="J7" s="6">
        <v>400</v>
      </c>
      <c r="K7" s="6">
        <v>380</v>
      </c>
      <c r="L7" s="6">
        <v>0</v>
      </c>
      <c r="M7" s="7">
        <f t="shared" si="0"/>
        <v>10153</v>
      </c>
      <c r="N7" s="66"/>
      <c r="O7" s="69"/>
      <c r="P7" s="74" t="s">
        <v>178</v>
      </c>
      <c r="Q7" s="90">
        <f>B7+B28</f>
        <v>194</v>
      </c>
      <c r="R7" s="7">
        <f t="shared" si="1"/>
        <v>18338</v>
      </c>
    </row>
    <row r="8" spans="1:18" ht="19.5" customHeight="1">
      <c r="A8" s="75"/>
      <c r="B8" s="91"/>
      <c r="C8" s="92"/>
      <c r="D8" s="9">
        <v>81</v>
      </c>
      <c r="E8" s="9">
        <v>0</v>
      </c>
      <c r="F8" s="9">
        <v>0</v>
      </c>
      <c r="G8" s="9">
        <v>1497</v>
      </c>
      <c r="H8" s="9">
        <v>16</v>
      </c>
      <c r="I8" s="9">
        <v>48</v>
      </c>
      <c r="J8" s="9">
        <v>12</v>
      </c>
      <c r="K8" s="9">
        <v>45</v>
      </c>
      <c r="L8" s="9">
        <v>0</v>
      </c>
      <c r="M8" s="10">
        <f t="shared" si="0"/>
        <v>1699</v>
      </c>
      <c r="N8" s="66"/>
      <c r="O8" s="69"/>
      <c r="P8" s="75"/>
      <c r="Q8" s="91"/>
      <c r="R8" s="10">
        <f t="shared" si="1"/>
        <v>3468</v>
      </c>
    </row>
    <row r="9" spans="1:18" ht="19.5" customHeight="1">
      <c r="A9" s="74" t="s">
        <v>118</v>
      </c>
      <c r="B9" s="90">
        <v>11</v>
      </c>
      <c r="C9" s="80">
        <v>3</v>
      </c>
      <c r="D9" s="6">
        <v>0</v>
      </c>
      <c r="E9" s="6">
        <v>0</v>
      </c>
      <c r="F9" s="6">
        <v>0</v>
      </c>
      <c r="G9" s="6">
        <v>333</v>
      </c>
      <c r="H9" s="6">
        <v>0</v>
      </c>
      <c r="I9" s="6">
        <v>0</v>
      </c>
      <c r="J9" s="6">
        <v>0</v>
      </c>
      <c r="K9" s="6">
        <v>255</v>
      </c>
      <c r="L9" s="6">
        <v>90</v>
      </c>
      <c r="M9" s="7">
        <f t="shared" si="0"/>
        <v>678</v>
      </c>
      <c r="N9" s="66"/>
      <c r="O9" s="69"/>
      <c r="P9" s="74" t="s">
        <v>118</v>
      </c>
      <c r="Q9" s="90">
        <f>B9+B30</f>
        <v>100</v>
      </c>
      <c r="R9" s="7">
        <f t="shared" si="1"/>
        <v>2026</v>
      </c>
    </row>
    <row r="10" spans="1:18" ht="19.5" customHeight="1">
      <c r="A10" s="75"/>
      <c r="B10" s="91"/>
      <c r="C10" s="92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5</v>
      </c>
      <c r="L10" s="9">
        <v>1</v>
      </c>
      <c r="M10" s="10">
        <f t="shared" si="0"/>
        <v>6</v>
      </c>
      <c r="N10" s="66"/>
      <c r="O10" s="69"/>
      <c r="P10" s="75"/>
      <c r="Q10" s="91"/>
      <c r="R10" s="10">
        <f t="shared" si="1"/>
        <v>496</v>
      </c>
    </row>
    <row r="11" spans="1:18" ht="19.5" customHeight="1">
      <c r="A11" s="74" t="s">
        <v>119</v>
      </c>
      <c r="B11" s="90">
        <v>36</v>
      </c>
      <c r="C11" s="80">
        <v>3</v>
      </c>
      <c r="D11" s="6">
        <v>0</v>
      </c>
      <c r="E11" s="6">
        <v>0</v>
      </c>
      <c r="F11" s="6">
        <v>0</v>
      </c>
      <c r="G11" s="6">
        <v>2162</v>
      </c>
      <c r="H11" s="6">
        <v>0</v>
      </c>
      <c r="I11" s="6">
        <v>0</v>
      </c>
      <c r="J11" s="6">
        <v>0</v>
      </c>
      <c r="K11" s="6">
        <v>200</v>
      </c>
      <c r="L11" s="6">
        <v>0</v>
      </c>
      <c r="M11" s="7">
        <f t="shared" si="0"/>
        <v>2362</v>
      </c>
      <c r="N11" s="66"/>
      <c r="O11" s="69"/>
      <c r="P11" s="74" t="s">
        <v>119</v>
      </c>
      <c r="Q11" s="90">
        <f>B11+B32</f>
        <v>180</v>
      </c>
      <c r="R11" s="7">
        <f t="shared" si="1"/>
        <v>6999</v>
      </c>
    </row>
    <row r="12" spans="1:18" ht="19.5" customHeight="1">
      <c r="A12" s="75"/>
      <c r="B12" s="91"/>
      <c r="C12" s="92"/>
      <c r="D12" s="9">
        <v>0</v>
      </c>
      <c r="E12" s="9">
        <v>0</v>
      </c>
      <c r="F12" s="9">
        <v>0</v>
      </c>
      <c r="G12" s="9">
        <v>86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0">
        <f t="shared" si="0"/>
        <v>86</v>
      </c>
      <c r="N12" s="66"/>
      <c r="O12" s="69"/>
      <c r="P12" s="75"/>
      <c r="Q12" s="91"/>
      <c r="R12" s="10">
        <f t="shared" si="1"/>
        <v>1300</v>
      </c>
    </row>
    <row r="13" spans="1:18" s="51" customFormat="1" ht="19.5" customHeight="1">
      <c r="A13" s="74" t="s">
        <v>101</v>
      </c>
      <c r="B13" s="93">
        <v>24</v>
      </c>
      <c r="C13" s="80">
        <v>4</v>
      </c>
      <c r="D13" s="6">
        <v>0</v>
      </c>
      <c r="E13" s="6">
        <v>100</v>
      </c>
      <c r="F13" s="6">
        <v>2200</v>
      </c>
      <c r="G13" s="6">
        <v>2610</v>
      </c>
      <c r="H13" s="6">
        <v>500</v>
      </c>
      <c r="I13" s="6">
        <v>1610</v>
      </c>
      <c r="J13" s="6">
        <v>600</v>
      </c>
      <c r="K13" s="6">
        <v>40</v>
      </c>
      <c r="L13" s="6">
        <v>25</v>
      </c>
      <c r="M13" s="7">
        <f t="shared" si="0"/>
        <v>7685</v>
      </c>
      <c r="N13" s="67"/>
      <c r="O13" s="70"/>
      <c r="P13" s="74" t="s">
        <v>101</v>
      </c>
      <c r="Q13" s="90">
        <f>B13+B34</f>
        <v>151</v>
      </c>
      <c r="R13" s="7">
        <f t="shared" si="1"/>
        <v>14449</v>
      </c>
    </row>
    <row r="14" spans="1:18" s="51" customFormat="1" ht="19.5" customHeight="1">
      <c r="A14" s="75"/>
      <c r="B14" s="94"/>
      <c r="C14" s="92"/>
      <c r="D14" s="9">
        <v>0</v>
      </c>
      <c r="E14" s="9">
        <v>11</v>
      </c>
      <c r="F14" s="9">
        <v>374</v>
      </c>
      <c r="G14" s="9">
        <v>273</v>
      </c>
      <c r="H14" s="9">
        <v>41</v>
      </c>
      <c r="I14" s="9">
        <v>21</v>
      </c>
      <c r="J14" s="9">
        <v>74</v>
      </c>
      <c r="K14" s="9">
        <v>2</v>
      </c>
      <c r="L14" s="9">
        <v>3</v>
      </c>
      <c r="M14" s="10">
        <f t="shared" si="0"/>
        <v>799</v>
      </c>
      <c r="N14" s="67"/>
      <c r="O14" s="70"/>
      <c r="P14" s="75"/>
      <c r="Q14" s="91"/>
      <c r="R14" s="10">
        <f t="shared" si="1"/>
        <v>2240</v>
      </c>
    </row>
    <row r="15" spans="1:18" ht="19.5" customHeight="1">
      <c r="A15" s="74" t="s">
        <v>102</v>
      </c>
      <c r="B15" s="90">
        <v>27</v>
      </c>
      <c r="C15" s="80">
        <v>5</v>
      </c>
      <c r="D15" s="6">
        <v>200</v>
      </c>
      <c r="E15" s="6">
        <v>0</v>
      </c>
      <c r="F15" s="6">
        <v>400</v>
      </c>
      <c r="G15" s="6">
        <v>1550</v>
      </c>
      <c r="H15" s="6">
        <v>400</v>
      </c>
      <c r="I15" s="6">
        <v>0</v>
      </c>
      <c r="J15" s="6">
        <v>0</v>
      </c>
      <c r="K15" s="6">
        <v>10</v>
      </c>
      <c r="L15" s="6">
        <v>20</v>
      </c>
      <c r="M15" s="7">
        <f t="shared" si="0"/>
        <v>2580</v>
      </c>
      <c r="P15" s="74" t="s">
        <v>102</v>
      </c>
      <c r="Q15" s="90">
        <f>B15+B36</f>
        <v>238</v>
      </c>
      <c r="R15" s="7">
        <f t="shared" si="1"/>
        <v>11803</v>
      </c>
    </row>
    <row r="16" spans="1:18" ht="19.5" customHeight="1">
      <c r="A16" s="75"/>
      <c r="B16" s="91"/>
      <c r="C16" s="92"/>
      <c r="D16" s="9">
        <v>0</v>
      </c>
      <c r="E16" s="9">
        <v>0</v>
      </c>
      <c r="F16" s="9">
        <v>0</v>
      </c>
      <c r="G16" s="9">
        <v>35</v>
      </c>
      <c r="H16" s="9">
        <v>0</v>
      </c>
      <c r="I16" s="9">
        <v>0</v>
      </c>
      <c r="J16" s="9">
        <v>0</v>
      </c>
      <c r="K16" s="9">
        <v>0</v>
      </c>
      <c r="L16" s="9">
        <v>5</v>
      </c>
      <c r="M16" s="10">
        <f t="shared" si="0"/>
        <v>40</v>
      </c>
      <c r="P16" s="75"/>
      <c r="Q16" s="91"/>
      <c r="R16" s="10">
        <f t="shared" si="1"/>
        <v>1847</v>
      </c>
    </row>
    <row r="17" spans="1:18" ht="19.5" customHeight="1">
      <c r="A17" s="74" t="s">
        <v>120</v>
      </c>
      <c r="B17" s="90">
        <v>52</v>
      </c>
      <c r="C17" s="80">
        <v>8</v>
      </c>
      <c r="D17" s="6">
        <v>652</v>
      </c>
      <c r="E17" s="6">
        <v>38</v>
      </c>
      <c r="F17" s="6">
        <v>0</v>
      </c>
      <c r="G17" s="6">
        <v>2247</v>
      </c>
      <c r="H17" s="6">
        <v>350</v>
      </c>
      <c r="I17" s="6">
        <v>1015</v>
      </c>
      <c r="J17" s="6">
        <v>250</v>
      </c>
      <c r="K17" s="6">
        <v>0</v>
      </c>
      <c r="L17" s="6">
        <v>0</v>
      </c>
      <c r="M17" s="7">
        <f t="shared" si="0"/>
        <v>4552</v>
      </c>
      <c r="P17" s="74" t="s">
        <v>120</v>
      </c>
      <c r="Q17" s="90">
        <f>B17+B38</f>
        <v>160</v>
      </c>
      <c r="R17" s="7">
        <f t="shared" si="1"/>
        <v>9725</v>
      </c>
    </row>
    <row r="18" spans="1:18" ht="19.5" customHeight="1">
      <c r="A18" s="75"/>
      <c r="B18" s="91"/>
      <c r="C18" s="92"/>
      <c r="D18" s="9">
        <v>98</v>
      </c>
      <c r="E18" s="9">
        <v>38</v>
      </c>
      <c r="F18" s="9">
        <v>0</v>
      </c>
      <c r="G18" s="9">
        <v>918</v>
      </c>
      <c r="H18" s="9">
        <v>16</v>
      </c>
      <c r="I18" s="9">
        <v>190</v>
      </c>
      <c r="J18" s="9">
        <v>21</v>
      </c>
      <c r="K18" s="9">
        <v>0</v>
      </c>
      <c r="L18" s="9">
        <v>0</v>
      </c>
      <c r="M18" s="10">
        <f t="shared" si="0"/>
        <v>1281</v>
      </c>
      <c r="P18" s="75"/>
      <c r="Q18" s="91"/>
      <c r="R18" s="10">
        <f t="shared" si="1"/>
        <v>3952</v>
      </c>
    </row>
    <row r="19" spans="1:18" ht="19.5" customHeight="1">
      <c r="A19" s="74" t="s">
        <v>121</v>
      </c>
      <c r="B19" s="76">
        <f>SUM(B5:B18)</f>
        <v>265</v>
      </c>
      <c r="C19" s="76">
        <f>SUM(C5:C18)</f>
        <v>31</v>
      </c>
      <c r="D19" s="7">
        <f>D5+D7+D9+D11+D13+D15+D17</f>
        <v>1462</v>
      </c>
      <c r="E19" s="7">
        <f aca="true" t="shared" si="2" ref="E19:K20">E5+E7+E9+E11+E13+E15+E17</f>
        <v>638</v>
      </c>
      <c r="F19" s="7">
        <f t="shared" si="2"/>
        <v>2650</v>
      </c>
      <c r="G19" s="7">
        <f t="shared" si="2"/>
        <v>15785</v>
      </c>
      <c r="H19" s="7">
        <f t="shared" si="2"/>
        <v>3360</v>
      </c>
      <c r="I19" s="7">
        <f t="shared" si="2"/>
        <v>5105</v>
      </c>
      <c r="J19" s="7">
        <f t="shared" si="2"/>
        <v>1280</v>
      </c>
      <c r="K19" s="7">
        <f t="shared" si="2"/>
        <v>915</v>
      </c>
      <c r="L19" s="7">
        <f>L5+L7+L9+L11+L13+L15+L17</f>
        <v>135</v>
      </c>
      <c r="M19" s="7">
        <f t="shared" si="0"/>
        <v>31330</v>
      </c>
      <c r="P19" s="74" t="s">
        <v>121</v>
      </c>
      <c r="Q19" s="76">
        <f>B19+B40</f>
        <v>1213</v>
      </c>
      <c r="R19" s="7">
        <f t="shared" si="1"/>
        <v>72597</v>
      </c>
    </row>
    <row r="20" spans="1:18" ht="19.5" customHeight="1">
      <c r="A20" s="75"/>
      <c r="B20" s="77"/>
      <c r="C20" s="77"/>
      <c r="D20" s="8">
        <f>D6+D8+D10+D12+D14+D16+D18</f>
        <v>230</v>
      </c>
      <c r="E20" s="8">
        <f t="shared" si="2"/>
        <v>160</v>
      </c>
      <c r="F20" s="8">
        <f t="shared" si="2"/>
        <v>394</v>
      </c>
      <c r="G20" s="8">
        <f t="shared" si="2"/>
        <v>3245</v>
      </c>
      <c r="H20" s="8">
        <f t="shared" si="2"/>
        <v>403</v>
      </c>
      <c r="I20" s="8">
        <f t="shared" si="2"/>
        <v>849</v>
      </c>
      <c r="J20" s="8">
        <f t="shared" si="2"/>
        <v>122</v>
      </c>
      <c r="K20" s="8">
        <f t="shared" si="2"/>
        <v>79</v>
      </c>
      <c r="L20" s="8">
        <f>L6+L8+L10+L12+L14+L16+L18</f>
        <v>9</v>
      </c>
      <c r="M20" s="8">
        <f t="shared" si="0"/>
        <v>5491</v>
      </c>
      <c r="P20" s="75"/>
      <c r="Q20" s="77"/>
      <c r="R20" s="8">
        <f t="shared" si="1"/>
        <v>15787</v>
      </c>
    </row>
    <row r="21" spans="1:17" ht="19.5" customHeight="1">
      <c r="A21" s="13"/>
      <c r="B21" s="14"/>
      <c r="C21" s="4"/>
      <c r="D21" s="15"/>
      <c r="E21" s="15"/>
      <c r="F21" s="32"/>
      <c r="G21" s="15"/>
      <c r="H21" s="15"/>
      <c r="I21" s="15"/>
      <c r="J21" s="32"/>
      <c r="K21" s="32"/>
      <c r="L21" s="15"/>
      <c r="M21" s="15"/>
      <c r="N21" s="2"/>
      <c r="O21" s="2"/>
      <c r="P21" s="2"/>
      <c r="Q21" s="2"/>
    </row>
    <row r="22" spans="1:17" ht="19.5" customHeight="1">
      <c r="A22" s="13"/>
      <c r="B22" s="14"/>
      <c r="C22" s="4"/>
      <c r="D22" s="15"/>
      <c r="E22" s="15"/>
      <c r="F22" s="32"/>
      <c r="G22" s="15"/>
      <c r="H22" s="15"/>
      <c r="I22" s="15"/>
      <c r="J22" s="32"/>
      <c r="K22" s="32"/>
      <c r="L22" s="15"/>
      <c r="M22" s="15"/>
      <c r="N22" s="2"/>
      <c r="O22" s="2"/>
      <c r="P22" s="2"/>
      <c r="Q22" s="2"/>
    </row>
    <row r="23" spans="1:17" ht="19.5" customHeight="1">
      <c r="A23" s="11" t="s">
        <v>122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9.5" customHeight="1">
      <c r="A24" s="83" t="s">
        <v>179</v>
      </c>
      <c r="B24" s="85" t="s">
        <v>106</v>
      </c>
      <c r="C24" s="3" t="s">
        <v>107</v>
      </c>
      <c r="D24" s="87" t="s">
        <v>108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</row>
    <row r="25" spans="1:18" ht="19.5" customHeight="1">
      <c r="A25" s="84"/>
      <c r="B25" s="86"/>
      <c r="C25" s="5" t="s">
        <v>109</v>
      </c>
      <c r="D25" s="5" t="s">
        <v>11</v>
      </c>
      <c r="E25" s="5" t="s">
        <v>13</v>
      </c>
      <c r="F25" s="5" t="s">
        <v>12</v>
      </c>
      <c r="G25" s="5" t="s">
        <v>164</v>
      </c>
      <c r="H25" s="5" t="s">
        <v>14</v>
      </c>
      <c r="I25" s="5" t="s">
        <v>15</v>
      </c>
      <c r="J25" s="5" t="s">
        <v>16</v>
      </c>
      <c r="K25" s="5" t="s">
        <v>130</v>
      </c>
      <c r="L25" s="54" t="s">
        <v>95</v>
      </c>
      <c r="M25" s="54" t="s">
        <v>65</v>
      </c>
      <c r="N25" s="54" t="s">
        <v>86</v>
      </c>
      <c r="O25" s="5" t="s">
        <v>133</v>
      </c>
      <c r="P25" s="5" t="s">
        <v>151</v>
      </c>
      <c r="Q25" s="5" t="s">
        <v>185</v>
      </c>
      <c r="R25" s="12" t="s">
        <v>115</v>
      </c>
    </row>
    <row r="26" spans="1:18" ht="19.5" customHeight="1">
      <c r="A26" s="74" t="s">
        <v>159</v>
      </c>
      <c r="B26" s="76">
        <v>117</v>
      </c>
      <c r="C26" s="80">
        <v>5</v>
      </c>
      <c r="D26" s="6">
        <v>2</v>
      </c>
      <c r="E26" s="6">
        <v>40</v>
      </c>
      <c r="F26" s="6">
        <v>100</v>
      </c>
      <c r="G26" s="6">
        <v>0</v>
      </c>
      <c r="H26" s="78">
        <v>1670</v>
      </c>
      <c r="I26" s="79"/>
      <c r="J26" s="6">
        <v>0</v>
      </c>
      <c r="K26" s="6">
        <v>0</v>
      </c>
      <c r="L26" s="6">
        <v>1445</v>
      </c>
      <c r="M26" s="6">
        <v>1460</v>
      </c>
      <c r="N26" s="6">
        <v>100</v>
      </c>
      <c r="O26" s="6">
        <v>1120</v>
      </c>
      <c r="P26" s="6">
        <v>0</v>
      </c>
      <c r="Q26" s="6">
        <v>0</v>
      </c>
      <c r="R26" s="7">
        <f aca="true" t="shared" si="3" ref="R26:R41">SUM(D26:Q26)</f>
        <v>5937</v>
      </c>
    </row>
    <row r="27" spans="1:18" ht="19.5" customHeight="1">
      <c r="A27" s="75"/>
      <c r="B27" s="77"/>
      <c r="C27" s="81"/>
      <c r="D27" s="9">
        <v>2</v>
      </c>
      <c r="E27" s="9">
        <v>9</v>
      </c>
      <c r="F27" s="9">
        <v>52</v>
      </c>
      <c r="G27" s="9">
        <v>0</v>
      </c>
      <c r="H27" s="9">
        <v>137</v>
      </c>
      <c r="I27" s="46">
        <v>231</v>
      </c>
      <c r="J27" s="9">
        <v>0</v>
      </c>
      <c r="K27" s="9">
        <v>0</v>
      </c>
      <c r="L27" s="9">
        <v>177</v>
      </c>
      <c r="M27" s="9">
        <v>225</v>
      </c>
      <c r="N27" s="9">
        <v>47</v>
      </c>
      <c r="O27" s="9">
        <v>24</v>
      </c>
      <c r="P27" s="9">
        <v>0</v>
      </c>
      <c r="Q27" s="9">
        <v>0</v>
      </c>
      <c r="R27" s="8">
        <f t="shared" si="3"/>
        <v>904</v>
      </c>
    </row>
    <row r="28" spans="1:18" ht="19.5" customHeight="1">
      <c r="A28" s="74" t="s">
        <v>178</v>
      </c>
      <c r="B28" s="76">
        <v>152</v>
      </c>
      <c r="C28" s="80">
        <v>2</v>
      </c>
      <c r="D28" s="6">
        <v>25</v>
      </c>
      <c r="E28" s="6">
        <v>235</v>
      </c>
      <c r="F28" s="6">
        <v>1377</v>
      </c>
      <c r="G28" s="6">
        <v>0</v>
      </c>
      <c r="H28" s="78">
        <v>715</v>
      </c>
      <c r="I28" s="79"/>
      <c r="J28" s="6">
        <v>465</v>
      </c>
      <c r="K28" s="6">
        <v>240</v>
      </c>
      <c r="L28" s="6">
        <v>2165</v>
      </c>
      <c r="M28" s="6">
        <v>1608</v>
      </c>
      <c r="N28" s="6">
        <v>40</v>
      </c>
      <c r="O28" s="6">
        <v>1315</v>
      </c>
      <c r="P28" s="6">
        <v>0</v>
      </c>
      <c r="Q28" s="6">
        <v>0</v>
      </c>
      <c r="R28" s="7">
        <f t="shared" si="3"/>
        <v>8185</v>
      </c>
    </row>
    <row r="29" spans="1:18" ht="19.5" customHeight="1">
      <c r="A29" s="75"/>
      <c r="B29" s="77"/>
      <c r="C29" s="81"/>
      <c r="D29" s="9">
        <v>5</v>
      </c>
      <c r="E29" s="9">
        <v>4</v>
      </c>
      <c r="F29" s="9">
        <v>349</v>
      </c>
      <c r="G29" s="9">
        <v>0</v>
      </c>
      <c r="H29" s="9">
        <v>88</v>
      </c>
      <c r="I29" s="46">
        <v>0</v>
      </c>
      <c r="J29" s="9">
        <v>48</v>
      </c>
      <c r="K29" s="9">
        <v>19</v>
      </c>
      <c r="L29" s="9">
        <v>696</v>
      </c>
      <c r="M29" s="9">
        <v>292</v>
      </c>
      <c r="N29" s="9">
        <v>4</v>
      </c>
      <c r="O29" s="9">
        <v>264</v>
      </c>
      <c r="P29" s="9">
        <v>0</v>
      </c>
      <c r="Q29" s="9">
        <v>0</v>
      </c>
      <c r="R29" s="8">
        <f t="shared" si="3"/>
        <v>1769</v>
      </c>
    </row>
    <row r="30" spans="1:18" s="51" customFormat="1" ht="19.5" customHeight="1">
      <c r="A30" s="74" t="s">
        <v>118</v>
      </c>
      <c r="B30" s="76">
        <v>89</v>
      </c>
      <c r="C30" s="80">
        <v>3</v>
      </c>
      <c r="D30" s="6">
        <v>0</v>
      </c>
      <c r="E30" s="6">
        <v>5</v>
      </c>
      <c r="F30" s="6">
        <v>29</v>
      </c>
      <c r="G30" s="6">
        <v>0</v>
      </c>
      <c r="H30" s="78">
        <v>783</v>
      </c>
      <c r="I30" s="79"/>
      <c r="J30" s="6">
        <v>211</v>
      </c>
      <c r="K30" s="6">
        <v>0</v>
      </c>
      <c r="L30" s="6">
        <v>230</v>
      </c>
      <c r="M30" s="6">
        <v>35</v>
      </c>
      <c r="N30" s="6">
        <v>0</v>
      </c>
      <c r="O30" s="6">
        <v>55</v>
      </c>
      <c r="P30" s="6">
        <v>0</v>
      </c>
      <c r="Q30" s="6">
        <v>0</v>
      </c>
      <c r="R30" s="7">
        <f t="shared" si="3"/>
        <v>1348</v>
      </c>
    </row>
    <row r="31" spans="1:18" s="51" customFormat="1" ht="19.5" customHeight="1">
      <c r="A31" s="75"/>
      <c r="B31" s="77"/>
      <c r="C31" s="81"/>
      <c r="D31" s="9">
        <v>0</v>
      </c>
      <c r="E31" s="9">
        <v>1</v>
      </c>
      <c r="F31" s="9">
        <v>5</v>
      </c>
      <c r="G31" s="9">
        <v>0</v>
      </c>
      <c r="H31" s="9">
        <v>156</v>
      </c>
      <c r="I31" s="46">
        <v>159</v>
      </c>
      <c r="J31" s="9">
        <v>44</v>
      </c>
      <c r="K31" s="9">
        <v>0</v>
      </c>
      <c r="L31" s="9">
        <v>88</v>
      </c>
      <c r="M31" s="9">
        <v>14</v>
      </c>
      <c r="N31" s="9">
        <v>0</v>
      </c>
      <c r="O31" s="9">
        <v>23</v>
      </c>
      <c r="P31" s="9">
        <v>0</v>
      </c>
      <c r="Q31" s="9">
        <v>0</v>
      </c>
      <c r="R31" s="8">
        <f t="shared" si="3"/>
        <v>490</v>
      </c>
    </row>
    <row r="32" spans="1:18" ht="19.5" customHeight="1">
      <c r="A32" s="74" t="s">
        <v>119</v>
      </c>
      <c r="B32" s="76">
        <v>144</v>
      </c>
      <c r="C32" s="80">
        <v>4</v>
      </c>
      <c r="D32" s="6">
        <v>0</v>
      </c>
      <c r="E32" s="6">
        <v>21</v>
      </c>
      <c r="F32" s="6">
        <v>426</v>
      </c>
      <c r="G32" s="6">
        <v>0</v>
      </c>
      <c r="H32" s="78">
        <v>1365</v>
      </c>
      <c r="I32" s="79"/>
      <c r="J32" s="6">
        <v>277</v>
      </c>
      <c r="K32" s="6">
        <v>0</v>
      </c>
      <c r="L32" s="6">
        <v>1173</v>
      </c>
      <c r="M32" s="6">
        <v>636</v>
      </c>
      <c r="N32" s="6">
        <v>0</v>
      </c>
      <c r="O32" s="6">
        <v>739</v>
      </c>
      <c r="P32" s="6">
        <v>0</v>
      </c>
      <c r="Q32" s="6">
        <v>0</v>
      </c>
      <c r="R32" s="7">
        <f t="shared" si="3"/>
        <v>4637</v>
      </c>
    </row>
    <row r="33" spans="1:18" ht="19.5" customHeight="1">
      <c r="A33" s="75"/>
      <c r="B33" s="77"/>
      <c r="C33" s="81"/>
      <c r="D33" s="9">
        <v>0</v>
      </c>
      <c r="E33" s="9">
        <v>0</v>
      </c>
      <c r="F33" s="9">
        <v>42</v>
      </c>
      <c r="G33" s="9">
        <v>0</v>
      </c>
      <c r="H33" s="9">
        <v>283</v>
      </c>
      <c r="I33" s="46">
        <v>365</v>
      </c>
      <c r="J33" s="9">
        <v>17</v>
      </c>
      <c r="K33" s="9">
        <v>0</v>
      </c>
      <c r="L33" s="9">
        <v>316</v>
      </c>
      <c r="M33" s="9">
        <v>177</v>
      </c>
      <c r="N33" s="9">
        <v>0</v>
      </c>
      <c r="O33" s="9">
        <v>14</v>
      </c>
      <c r="P33" s="9">
        <v>0</v>
      </c>
      <c r="Q33" s="9">
        <v>0</v>
      </c>
      <c r="R33" s="8">
        <f t="shared" si="3"/>
        <v>1214</v>
      </c>
    </row>
    <row r="34" spans="1:18" s="51" customFormat="1" ht="19.5" customHeight="1">
      <c r="A34" s="74" t="s">
        <v>101</v>
      </c>
      <c r="B34" s="76">
        <v>127</v>
      </c>
      <c r="C34" s="80">
        <v>6</v>
      </c>
      <c r="D34" s="6">
        <v>67</v>
      </c>
      <c r="E34" s="6">
        <v>213</v>
      </c>
      <c r="F34" s="6">
        <v>1192</v>
      </c>
      <c r="G34" s="6">
        <v>0</v>
      </c>
      <c r="H34" s="78">
        <v>580</v>
      </c>
      <c r="I34" s="79"/>
      <c r="J34" s="6">
        <v>789</v>
      </c>
      <c r="K34" s="6">
        <v>0</v>
      </c>
      <c r="L34" s="6">
        <v>1645</v>
      </c>
      <c r="M34" s="6">
        <v>1217</v>
      </c>
      <c r="N34" s="6">
        <v>0</v>
      </c>
      <c r="O34" s="6">
        <v>1040</v>
      </c>
      <c r="P34" s="6">
        <v>21</v>
      </c>
      <c r="Q34" s="6">
        <v>0</v>
      </c>
      <c r="R34" s="7">
        <f t="shared" si="3"/>
        <v>6764</v>
      </c>
    </row>
    <row r="35" spans="1:18" s="51" customFormat="1" ht="19.5" customHeight="1">
      <c r="A35" s="75"/>
      <c r="B35" s="77"/>
      <c r="C35" s="81"/>
      <c r="D35" s="9">
        <v>31</v>
      </c>
      <c r="E35" s="9">
        <v>3</v>
      </c>
      <c r="F35" s="9">
        <v>166</v>
      </c>
      <c r="G35" s="9">
        <v>0</v>
      </c>
      <c r="H35" s="9">
        <v>125</v>
      </c>
      <c r="I35" s="46">
        <v>109</v>
      </c>
      <c r="J35" s="9">
        <v>345</v>
      </c>
      <c r="K35" s="9">
        <v>0</v>
      </c>
      <c r="L35" s="9">
        <v>473</v>
      </c>
      <c r="M35" s="9">
        <v>180</v>
      </c>
      <c r="N35" s="9">
        <v>0</v>
      </c>
      <c r="O35" s="9">
        <v>1</v>
      </c>
      <c r="P35" s="9">
        <v>8</v>
      </c>
      <c r="Q35" s="9">
        <v>0</v>
      </c>
      <c r="R35" s="8">
        <f t="shared" si="3"/>
        <v>1441</v>
      </c>
    </row>
    <row r="36" spans="1:18" ht="19.5" customHeight="1">
      <c r="A36" s="74" t="s">
        <v>102</v>
      </c>
      <c r="B36" s="76">
        <v>211</v>
      </c>
      <c r="C36" s="80">
        <v>5</v>
      </c>
      <c r="D36" s="6">
        <v>79</v>
      </c>
      <c r="E36" s="6">
        <v>0</v>
      </c>
      <c r="F36" s="6">
        <v>475</v>
      </c>
      <c r="G36" s="6">
        <v>0</v>
      </c>
      <c r="H36" s="78">
        <v>2744</v>
      </c>
      <c r="I36" s="82"/>
      <c r="J36" s="6">
        <v>1500</v>
      </c>
      <c r="K36" s="6">
        <v>0</v>
      </c>
      <c r="L36" s="6">
        <v>2195</v>
      </c>
      <c r="M36" s="6">
        <v>1783</v>
      </c>
      <c r="N36" s="6">
        <v>0</v>
      </c>
      <c r="O36" s="6">
        <v>400</v>
      </c>
      <c r="P36" s="6">
        <v>47</v>
      </c>
      <c r="Q36" s="6">
        <v>0</v>
      </c>
      <c r="R36" s="7">
        <f t="shared" si="3"/>
        <v>9223</v>
      </c>
    </row>
    <row r="37" spans="1:18" ht="19.5" customHeight="1">
      <c r="A37" s="75"/>
      <c r="B37" s="77"/>
      <c r="C37" s="81"/>
      <c r="D37" s="9">
        <v>28</v>
      </c>
      <c r="E37" s="9">
        <v>0</v>
      </c>
      <c r="F37" s="9">
        <v>33</v>
      </c>
      <c r="G37" s="9">
        <v>0</v>
      </c>
      <c r="H37" s="9">
        <v>276</v>
      </c>
      <c r="I37" s="46">
        <v>389</v>
      </c>
      <c r="J37" s="9">
        <v>398</v>
      </c>
      <c r="K37" s="9">
        <v>0</v>
      </c>
      <c r="L37" s="9">
        <v>269</v>
      </c>
      <c r="M37" s="9">
        <v>388</v>
      </c>
      <c r="N37" s="9">
        <v>0</v>
      </c>
      <c r="O37" s="9">
        <v>1</v>
      </c>
      <c r="P37" s="9">
        <v>25</v>
      </c>
      <c r="Q37" s="9">
        <v>0</v>
      </c>
      <c r="R37" s="8">
        <f t="shared" si="3"/>
        <v>1807</v>
      </c>
    </row>
    <row r="38" spans="1:18" ht="19.5" customHeight="1">
      <c r="A38" s="74" t="s">
        <v>120</v>
      </c>
      <c r="B38" s="76">
        <v>108</v>
      </c>
      <c r="C38" s="80">
        <v>7</v>
      </c>
      <c r="D38" s="6">
        <v>13</v>
      </c>
      <c r="E38" s="6">
        <v>3</v>
      </c>
      <c r="F38" s="6">
        <v>912</v>
      </c>
      <c r="G38" s="6">
        <v>0</v>
      </c>
      <c r="H38" s="78">
        <v>519</v>
      </c>
      <c r="I38" s="79"/>
      <c r="J38" s="6">
        <v>133</v>
      </c>
      <c r="K38" s="6">
        <v>0</v>
      </c>
      <c r="L38" s="6">
        <v>1682</v>
      </c>
      <c r="M38" s="6">
        <v>1050</v>
      </c>
      <c r="N38" s="6">
        <v>0</v>
      </c>
      <c r="O38" s="6">
        <v>861</v>
      </c>
      <c r="P38" s="6">
        <v>0</v>
      </c>
      <c r="Q38" s="6">
        <v>0</v>
      </c>
      <c r="R38" s="7">
        <f t="shared" si="3"/>
        <v>5173</v>
      </c>
    </row>
    <row r="39" spans="1:18" ht="19.5" customHeight="1">
      <c r="A39" s="75"/>
      <c r="B39" s="77"/>
      <c r="C39" s="81"/>
      <c r="D39" s="9">
        <v>12</v>
      </c>
      <c r="E39" s="9">
        <v>3</v>
      </c>
      <c r="F39" s="9">
        <v>163</v>
      </c>
      <c r="G39" s="9">
        <v>0</v>
      </c>
      <c r="H39" s="9">
        <v>262</v>
      </c>
      <c r="I39" s="46">
        <v>256</v>
      </c>
      <c r="J39" s="9">
        <v>133</v>
      </c>
      <c r="K39" s="9">
        <v>0</v>
      </c>
      <c r="L39" s="9">
        <v>1579</v>
      </c>
      <c r="M39" s="9">
        <v>227</v>
      </c>
      <c r="N39" s="9">
        <v>0</v>
      </c>
      <c r="O39" s="9">
        <v>36</v>
      </c>
      <c r="P39" s="9">
        <v>0</v>
      </c>
      <c r="Q39" s="9">
        <v>0</v>
      </c>
      <c r="R39" s="8">
        <f t="shared" si="3"/>
        <v>2671</v>
      </c>
    </row>
    <row r="40" spans="1:18" ht="19.5" customHeight="1">
      <c r="A40" s="74" t="s">
        <v>136</v>
      </c>
      <c r="B40" s="76">
        <f>SUM(B26:B39)</f>
        <v>948</v>
      </c>
      <c r="C40" s="76">
        <f>SUM(C26:C39)</f>
        <v>32</v>
      </c>
      <c r="D40" s="7">
        <f aca="true" t="shared" si="4" ref="D40:H41">D26+D28+D30+D32+D34+D36+D38</f>
        <v>186</v>
      </c>
      <c r="E40" s="7">
        <f t="shared" si="4"/>
        <v>517</v>
      </c>
      <c r="F40" s="7">
        <f t="shared" si="4"/>
        <v>4511</v>
      </c>
      <c r="G40" s="7">
        <f t="shared" si="4"/>
        <v>0</v>
      </c>
      <c r="H40" s="78">
        <f t="shared" si="4"/>
        <v>8376</v>
      </c>
      <c r="I40" s="79"/>
      <c r="J40" s="7">
        <f aca="true" t="shared" si="5" ref="J40:Q41">J26+J28+J30+J32+J34+J36+J38</f>
        <v>3375</v>
      </c>
      <c r="K40" s="7">
        <f t="shared" si="5"/>
        <v>240</v>
      </c>
      <c r="L40" s="7">
        <f t="shared" si="5"/>
        <v>10535</v>
      </c>
      <c r="M40" s="7">
        <f t="shared" si="5"/>
        <v>7789</v>
      </c>
      <c r="N40" s="7">
        <f t="shared" si="5"/>
        <v>140</v>
      </c>
      <c r="O40" s="7">
        <f t="shared" si="5"/>
        <v>5530</v>
      </c>
      <c r="P40" s="7">
        <f t="shared" si="5"/>
        <v>68</v>
      </c>
      <c r="Q40" s="7">
        <f t="shared" si="5"/>
        <v>0</v>
      </c>
      <c r="R40" s="7">
        <f t="shared" si="3"/>
        <v>41267</v>
      </c>
    </row>
    <row r="41" spans="1:18" ht="19.5" customHeight="1">
      <c r="A41" s="75"/>
      <c r="B41" s="77"/>
      <c r="C41" s="77"/>
      <c r="D41" s="8">
        <f t="shared" si="4"/>
        <v>78</v>
      </c>
      <c r="E41" s="8">
        <f t="shared" si="4"/>
        <v>20</v>
      </c>
      <c r="F41" s="8">
        <f t="shared" si="4"/>
        <v>810</v>
      </c>
      <c r="G41" s="8">
        <f t="shared" si="4"/>
        <v>0</v>
      </c>
      <c r="H41" s="8">
        <f t="shared" si="4"/>
        <v>1327</v>
      </c>
      <c r="I41" s="8">
        <f>I27+I29+I31+I33+I35+I37+I39</f>
        <v>1509</v>
      </c>
      <c r="J41" s="8">
        <f t="shared" si="5"/>
        <v>985</v>
      </c>
      <c r="K41" s="8">
        <f t="shared" si="5"/>
        <v>19</v>
      </c>
      <c r="L41" s="8">
        <f t="shared" si="5"/>
        <v>3598</v>
      </c>
      <c r="M41" s="8">
        <f t="shared" si="5"/>
        <v>1503</v>
      </c>
      <c r="N41" s="8">
        <f t="shared" si="5"/>
        <v>51</v>
      </c>
      <c r="O41" s="8">
        <f t="shared" si="5"/>
        <v>363</v>
      </c>
      <c r="P41" s="8">
        <f t="shared" si="5"/>
        <v>33</v>
      </c>
      <c r="Q41" s="8">
        <f t="shared" si="5"/>
        <v>0</v>
      </c>
      <c r="R41" s="8">
        <f t="shared" si="3"/>
        <v>10296</v>
      </c>
    </row>
    <row r="42" ht="18.75" customHeight="1"/>
    <row r="43" ht="18.75" customHeight="1">
      <c r="A43" t="s">
        <v>213</v>
      </c>
    </row>
    <row r="44" ht="18.75" customHeight="1"/>
  </sheetData>
  <sheetProtection/>
  <mergeCells count="81">
    <mergeCell ref="A3:A4"/>
    <mergeCell ref="B3:B4"/>
    <mergeCell ref="C3:C4"/>
    <mergeCell ref="D3:M3"/>
    <mergeCell ref="P3:P4"/>
    <mergeCell ref="Q3:Q4"/>
    <mergeCell ref="A5:A6"/>
    <mergeCell ref="B5:B6"/>
    <mergeCell ref="C5:C6"/>
    <mergeCell ref="P5:P6"/>
    <mergeCell ref="Q5:Q6"/>
    <mergeCell ref="A7:A8"/>
    <mergeCell ref="B7:B8"/>
    <mergeCell ref="C7:C8"/>
    <mergeCell ref="P7:P8"/>
    <mergeCell ref="Q7:Q8"/>
    <mergeCell ref="A9:A10"/>
    <mergeCell ref="B9:B10"/>
    <mergeCell ref="C9:C10"/>
    <mergeCell ref="P9:P10"/>
    <mergeCell ref="Q9:Q10"/>
    <mergeCell ref="A11:A12"/>
    <mergeCell ref="B11:B12"/>
    <mergeCell ref="C11:C12"/>
    <mergeCell ref="P11:P12"/>
    <mergeCell ref="Q11:Q12"/>
    <mergeCell ref="A13:A14"/>
    <mergeCell ref="B13:B14"/>
    <mergeCell ref="C13:C14"/>
    <mergeCell ref="P13:P14"/>
    <mergeCell ref="Q13:Q14"/>
    <mergeCell ref="A15:A16"/>
    <mergeCell ref="B15:B16"/>
    <mergeCell ref="C15:C16"/>
    <mergeCell ref="P15:P16"/>
    <mergeCell ref="Q15:Q16"/>
    <mergeCell ref="A17:A18"/>
    <mergeCell ref="B17:B18"/>
    <mergeCell ref="C17:C18"/>
    <mergeCell ref="P17:P18"/>
    <mergeCell ref="Q17:Q18"/>
    <mergeCell ref="A19:A20"/>
    <mergeCell ref="B19:B20"/>
    <mergeCell ref="C19:C20"/>
    <mergeCell ref="P19:P20"/>
    <mergeCell ref="Q19:Q20"/>
    <mergeCell ref="A24:A25"/>
    <mergeCell ref="B24:B25"/>
    <mergeCell ref="D24:R24"/>
    <mergeCell ref="A26:A27"/>
    <mergeCell ref="B26:B27"/>
    <mergeCell ref="C26:C27"/>
    <mergeCell ref="H26:I26"/>
    <mergeCell ref="A28:A29"/>
    <mergeCell ref="B28:B29"/>
    <mergeCell ref="C28:C29"/>
    <mergeCell ref="H28:I28"/>
    <mergeCell ref="A30:A31"/>
    <mergeCell ref="B30:B31"/>
    <mergeCell ref="C30:C31"/>
    <mergeCell ref="H30:I30"/>
    <mergeCell ref="C38:C39"/>
    <mergeCell ref="H38:I38"/>
    <mergeCell ref="A32:A33"/>
    <mergeCell ref="B32:B33"/>
    <mergeCell ref="C32:C33"/>
    <mergeCell ref="H32:I32"/>
    <mergeCell ref="A34:A35"/>
    <mergeCell ref="B34:B35"/>
    <mergeCell ref="C34:C35"/>
    <mergeCell ref="H34:I34"/>
    <mergeCell ref="A40:A41"/>
    <mergeCell ref="B40:B41"/>
    <mergeCell ref="C40:C41"/>
    <mergeCell ref="H40:I40"/>
    <mergeCell ref="A36:A37"/>
    <mergeCell ref="B36:B37"/>
    <mergeCell ref="C36:C37"/>
    <mergeCell ref="H36:I36"/>
    <mergeCell ref="A38:A39"/>
    <mergeCell ref="B38:B39"/>
  </mergeCells>
  <printOptions/>
  <pageMargins left="0.7" right="0.7" top="0.75" bottom="0.75" header="0.3" footer="0.3"/>
  <pageSetup horizontalDpi="600" verticalDpi="600" orientation="landscape" paperSize="9" scale="5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R57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9" max="9" width="9.00390625" style="51" customWidth="1"/>
  </cols>
  <sheetData>
    <row r="1" spans="1:16" ht="19.5" customHeigh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83" t="s">
        <v>100</v>
      </c>
      <c r="B3" s="85" t="s">
        <v>106</v>
      </c>
      <c r="C3" s="3" t="s">
        <v>107</v>
      </c>
      <c r="D3" s="104" t="s">
        <v>108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9.5" customHeight="1">
      <c r="A4" s="84"/>
      <c r="B4" s="86"/>
      <c r="C4" s="5" t="s">
        <v>109</v>
      </c>
      <c r="D4" s="5" t="s">
        <v>110</v>
      </c>
      <c r="E4" s="5" t="s">
        <v>146</v>
      </c>
      <c r="F4" s="5" t="s">
        <v>147</v>
      </c>
      <c r="G4" s="5" t="s">
        <v>39</v>
      </c>
      <c r="H4" s="5" t="s">
        <v>40</v>
      </c>
      <c r="I4" s="5" t="s">
        <v>148</v>
      </c>
      <c r="J4" s="16" t="s">
        <v>149</v>
      </c>
      <c r="K4" s="17"/>
      <c r="L4" s="17"/>
      <c r="M4" s="17"/>
      <c r="N4" s="5"/>
      <c r="O4" s="5"/>
      <c r="P4" s="12" t="s">
        <v>115</v>
      </c>
    </row>
    <row r="5" spans="1:17" ht="19.5" customHeight="1">
      <c r="A5" s="74" t="s">
        <v>91</v>
      </c>
      <c r="B5" s="90">
        <v>15</v>
      </c>
      <c r="C5" s="80">
        <v>1</v>
      </c>
      <c r="D5" s="6">
        <v>0</v>
      </c>
      <c r="E5" s="6">
        <v>0</v>
      </c>
      <c r="F5" s="6">
        <v>0</v>
      </c>
      <c r="G5" s="6">
        <v>461</v>
      </c>
      <c r="H5" s="6">
        <v>0</v>
      </c>
      <c r="I5" s="6">
        <v>1250</v>
      </c>
      <c r="J5" s="6">
        <v>0</v>
      </c>
      <c r="K5" s="6"/>
      <c r="L5" s="6"/>
      <c r="M5" s="6"/>
      <c r="N5" s="6"/>
      <c r="O5" s="6"/>
      <c r="P5" s="7">
        <f>SUM(D5:N5)</f>
        <v>1711</v>
      </c>
      <c r="Q5" s="49"/>
    </row>
    <row r="6" spans="1:17" ht="19.5" customHeight="1">
      <c r="A6" s="75"/>
      <c r="B6" s="91"/>
      <c r="C6" s="92"/>
      <c r="D6" s="9">
        <v>0</v>
      </c>
      <c r="E6" s="9">
        <v>0</v>
      </c>
      <c r="F6" s="9">
        <v>0</v>
      </c>
      <c r="G6" s="9">
        <v>46</v>
      </c>
      <c r="H6" s="9">
        <v>0</v>
      </c>
      <c r="I6" s="9">
        <v>491</v>
      </c>
      <c r="J6" s="9">
        <v>0</v>
      </c>
      <c r="K6" s="9"/>
      <c r="L6" s="9"/>
      <c r="M6" s="9"/>
      <c r="N6" s="9"/>
      <c r="O6" s="9"/>
      <c r="P6" s="10">
        <f>SUM(D6:O6)</f>
        <v>537</v>
      </c>
      <c r="Q6" s="49"/>
    </row>
    <row r="7" spans="1:16" s="51" customFormat="1" ht="19.5" customHeight="1">
      <c r="A7" s="74" t="s">
        <v>89</v>
      </c>
      <c r="B7" s="90">
        <v>39</v>
      </c>
      <c r="C7" s="80">
        <v>2</v>
      </c>
      <c r="D7" s="6">
        <v>200</v>
      </c>
      <c r="E7" s="6">
        <v>300</v>
      </c>
      <c r="F7" s="6">
        <v>0</v>
      </c>
      <c r="G7" s="6">
        <v>1589</v>
      </c>
      <c r="H7" s="6">
        <v>500</v>
      </c>
      <c r="I7" s="6">
        <v>980</v>
      </c>
      <c r="J7" s="6">
        <v>0</v>
      </c>
      <c r="K7" s="6"/>
      <c r="L7" s="6"/>
      <c r="M7" s="6"/>
      <c r="N7" s="6"/>
      <c r="O7" s="6"/>
      <c r="P7" s="7">
        <f>SUM(D7:N7)</f>
        <v>3569</v>
      </c>
    </row>
    <row r="8" spans="1:16" s="51" customFormat="1" ht="19.5" customHeight="1">
      <c r="A8" s="75"/>
      <c r="B8" s="91"/>
      <c r="C8" s="92"/>
      <c r="D8" s="9">
        <v>173</v>
      </c>
      <c r="E8" s="9">
        <v>284</v>
      </c>
      <c r="F8" s="9">
        <v>0</v>
      </c>
      <c r="G8" s="9">
        <v>516</v>
      </c>
      <c r="H8" s="9">
        <v>471</v>
      </c>
      <c r="I8" s="9">
        <v>553</v>
      </c>
      <c r="J8" s="9">
        <v>0</v>
      </c>
      <c r="K8" s="9"/>
      <c r="L8" s="9"/>
      <c r="M8" s="9"/>
      <c r="N8" s="9"/>
      <c r="O8" s="9"/>
      <c r="P8" s="10">
        <f>SUM(D8:O8)</f>
        <v>1997</v>
      </c>
    </row>
    <row r="9" spans="1:16" ht="19.5" customHeight="1">
      <c r="A9" s="74" t="s">
        <v>116</v>
      </c>
      <c r="B9" s="90">
        <v>26</v>
      </c>
      <c r="C9" s="80">
        <v>3</v>
      </c>
      <c r="D9" s="6">
        <v>0</v>
      </c>
      <c r="E9" s="6">
        <v>400</v>
      </c>
      <c r="F9" s="6">
        <v>380</v>
      </c>
      <c r="G9" s="6">
        <v>1728</v>
      </c>
      <c r="H9" s="6">
        <v>640</v>
      </c>
      <c r="I9" s="6">
        <v>115</v>
      </c>
      <c r="J9" s="6">
        <v>400</v>
      </c>
      <c r="K9" s="6"/>
      <c r="L9" s="6"/>
      <c r="M9" s="6"/>
      <c r="N9" s="6"/>
      <c r="O9" s="6"/>
      <c r="P9" s="7">
        <f aca="true" t="shared" si="0" ref="P9:P26">SUM(D9:N9)</f>
        <v>3663</v>
      </c>
    </row>
    <row r="10" spans="1:16" ht="19.5" customHeight="1">
      <c r="A10" s="75"/>
      <c r="B10" s="91"/>
      <c r="C10" s="92"/>
      <c r="D10" s="9">
        <v>0</v>
      </c>
      <c r="E10" s="9">
        <v>120</v>
      </c>
      <c r="F10" s="9">
        <v>21</v>
      </c>
      <c r="G10" s="9">
        <v>385</v>
      </c>
      <c r="H10" s="9">
        <v>19</v>
      </c>
      <c r="I10" s="9">
        <v>6</v>
      </c>
      <c r="J10" s="9">
        <v>90</v>
      </c>
      <c r="K10" s="9"/>
      <c r="L10" s="9"/>
      <c r="M10" s="9"/>
      <c r="N10" s="9"/>
      <c r="O10" s="9"/>
      <c r="P10" s="10">
        <f t="shared" si="0"/>
        <v>641</v>
      </c>
    </row>
    <row r="11" spans="1:16" ht="19.5" customHeight="1">
      <c r="A11" s="74" t="s">
        <v>117</v>
      </c>
      <c r="B11" s="90">
        <v>105</v>
      </c>
      <c r="C11" s="80">
        <v>2</v>
      </c>
      <c r="D11" s="6">
        <v>150</v>
      </c>
      <c r="E11" s="6">
        <v>0</v>
      </c>
      <c r="F11" s="6">
        <v>0</v>
      </c>
      <c r="G11" s="6">
        <v>11312</v>
      </c>
      <c r="H11" s="6">
        <v>2200</v>
      </c>
      <c r="I11" s="6">
        <v>1040</v>
      </c>
      <c r="J11" s="6">
        <v>80</v>
      </c>
      <c r="K11" s="6"/>
      <c r="L11" s="6"/>
      <c r="M11" s="6"/>
      <c r="N11" s="6"/>
      <c r="O11" s="6"/>
      <c r="P11" s="7">
        <f t="shared" si="0"/>
        <v>14782</v>
      </c>
    </row>
    <row r="12" spans="1:16" ht="19.5" customHeight="1">
      <c r="A12" s="75"/>
      <c r="B12" s="91"/>
      <c r="C12" s="92"/>
      <c r="D12" s="9">
        <v>80</v>
      </c>
      <c r="E12" s="9">
        <v>0</v>
      </c>
      <c r="F12" s="9">
        <v>0</v>
      </c>
      <c r="G12" s="9">
        <v>2956</v>
      </c>
      <c r="H12" s="9">
        <v>728</v>
      </c>
      <c r="I12" s="9">
        <v>179</v>
      </c>
      <c r="J12" s="9">
        <v>34</v>
      </c>
      <c r="K12" s="9"/>
      <c r="L12" s="9"/>
      <c r="M12" s="9"/>
      <c r="N12" s="9"/>
      <c r="O12" s="9"/>
      <c r="P12" s="10">
        <f t="shared" si="0"/>
        <v>3977</v>
      </c>
    </row>
    <row r="13" spans="1:16" ht="19.5" customHeight="1">
      <c r="A13" s="74" t="s">
        <v>118</v>
      </c>
      <c r="B13" s="90">
        <v>7</v>
      </c>
      <c r="C13" s="80">
        <v>2</v>
      </c>
      <c r="D13" s="6">
        <v>0</v>
      </c>
      <c r="E13" s="6">
        <v>0</v>
      </c>
      <c r="F13" s="6">
        <v>0</v>
      </c>
      <c r="G13" s="6">
        <v>273</v>
      </c>
      <c r="H13" s="6">
        <v>0</v>
      </c>
      <c r="I13" s="6">
        <v>0</v>
      </c>
      <c r="J13" s="6">
        <v>0</v>
      </c>
      <c r="K13" s="6"/>
      <c r="L13" s="6"/>
      <c r="M13" s="6"/>
      <c r="N13" s="6"/>
      <c r="O13" s="6"/>
      <c r="P13" s="7">
        <f t="shared" si="0"/>
        <v>273</v>
      </c>
    </row>
    <row r="14" spans="1:16" ht="19.5" customHeight="1">
      <c r="A14" s="75"/>
      <c r="B14" s="91"/>
      <c r="C14" s="92"/>
      <c r="D14" s="9">
        <v>0</v>
      </c>
      <c r="E14" s="9">
        <v>0</v>
      </c>
      <c r="F14" s="9">
        <v>0</v>
      </c>
      <c r="G14" s="9">
        <v>99</v>
      </c>
      <c r="H14" s="9">
        <v>0</v>
      </c>
      <c r="I14" s="9">
        <v>0</v>
      </c>
      <c r="J14" s="9">
        <v>0</v>
      </c>
      <c r="K14" s="9"/>
      <c r="L14" s="9"/>
      <c r="M14" s="9"/>
      <c r="N14" s="9"/>
      <c r="O14" s="9"/>
      <c r="P14" s="10">
        <f t="shared" si="0"/>
        <v>99</v>
      </c>
    </row>
    <row r="15" spans="1:16" ht="19.5" customHeight="1">
      <c r="A15" s="74" t="s">
        <v>119</v>
      </c>
      <c r="B15" s="90">
        <v>31</v>
      </c>
      <c r="C15" s="80">
        <v>3</v>
      </c>
      <c r="D15" s="6">
        <v>0</v>
      </c>
      <c r="E15" s="6">
        <v>0</v>
      </c>
      <c r="F15" s="6">
        <v>0</v>
      </c>
      <c r="G15" s="6">
        <v>1415</v>
      </c>
      <c r="H15" s="6">
        <v>0</v>
      </c>
      <c r="I15" s="6">
        <v>0</v>
      </c>
      <c r="J15" s="6">
        <v>0</v>
      </c>
      <c r="K15" s="6"/>
      <c r="L15" s="6"/>
      <c r="M15" s="6"/>
      <c r="N15" s="6"/>
      <c r="O15" s="6"/>
      <c r="P15" s="7">
        <f t="shared" si="0"/>
        <v>1415</v>
      </c>
    </row>
    <row r="16" spans="1:16" ht="19.5" customHeight="1">
      <c r="A16" s="75"/>
      <c r="B16" s="91"/>
      <c r="C16" s="92"/>
      <c r="D16" s="9">
        <v>0</v>
      </c>
      <c r="E16" s="9">
        <v>0</v>
      </c>
      <c r="F16" s="9">
        <v>0</v>
      </c>
      <c r="G16" s="9">
        <v>128</v>
      </c>
      <c r="H16" s="9">
        <v>0</v>
      </c>
      <c r="I16" s="9">
        <v>0</v>
      </c>
      <c r="J16" s="9">
        <v>0</v>
      </c>
      <c r="K16" s="9"/>
      <c r="L16" s="9"/>
      <c r="M16" s="9"/>
      <c r="N16" s="9"/>
      <c r="O16" s="9"/>
      <c r="P16" s="10">
        <f t="shared" si="0"/>
        <v>128</v>
      </c>
    </row>
    <row r="17" spans="1:16" s="51" customFormat="1" ht="19.5" customHeight="1">
      <c r="A17" s="74" t="s">
        <v>101</v>
      </c>
      <c r="B17" s="90">
        <v>26</v>
      </c>
      <c r="C17" s="80">
        <v>3</v>
      </c>
      <c r="D17" s="6">
        <v>0</v>
      </c>
      <c r="E17" s="6">
        <v>100</v>
      </c>
      <c r="F17" s="6">
        <v>490</v>
      </c>
      <c r="G17" s="6">
        <v>700</v>
      </c>
      <c r="H17" s="6">
        <v>100</v>
      </c>
      <c r="I17" s="6">
        <v>330</v>
      </c>
      <c r="J17" s="6">
        <v>100</v>
      </c>
      <c r="K17" s="6"/>
      <c r="L17" s="6"/>
      <c r="M17" s="6"/>
      <c r="N17" s="6"/>
      <c r="O17" s="6"/>
      <c r="P17" s="7">
        <f t="shared" si="0"/>
        <v>1820</v>
      </c>
    </row>
    <row r="18" spans="1:16" s="51" customFormat="1" ht="19.5" customHeight="1">
      <c r="A18" s="75"/>
      <c r="B18" s="91"/>
      <c r="C18" s="92"/>
      <c r="D18" s="9">
        <v>0</v>
      </c>
      <c r="E18" s="9">
        <v>3</v>
      </c>
      <c r="F18" s="9">
        <v>127</v>
      </c>
      <c r="G18" s="9">
        <v>159</v>
      </c>
      <c r="H18" s="9">
        <v>8</v>
      </c>
      <c r="I18" s="9">
        <v>88</v>
      </c>
      <c r="J18" s="9">
        <v>61</v>
      </c>
      <c r="K18" s="9"/>
      <c r="L18" s="9"/>
      <c r="M18" s="9"/>
      <c r="N18" s="9"/>
      <c r="O18" s="9"/>
      <c r="P18" s="10">
        <f t="shared" si="0"/>
        <v>446</v>
      </c>
    </row>
    <row r="19" spans="1:16" ht="19.5" customHeight="1">
      <c r="A19" s="74" t="s">
        <v>102</v>
      </c>
      <c r="B19" s="90">
        <v>33</v>
      </c>
      <c r="C19" s="80">
        <v>4</v>
      </c>
      <c r="D19" s="6">
        <v>0</v>
      </c>
      <c r="E19" s="6">
        <v>0</v>
      </c>
      <c r="F19" s="6">
        <v>0</v>
      </c>
      <c r="G19" s="6">
        <v>1589</v>
      </c>
      <c r="H19" s="6">
        <v>500</v>
      </c>
      <c r="I19" s="6">
        <v>0</v>
      </c>
      <c r="J19" s="6">
        <v>0</v>
      </c>
      <c r="K19" s="6"/>
      <c r="L19" s="6"/>
      <c r="M19" s="6"/>
      <c r="N19" s="6"/>
      <c r="O19" s="6"/>
      <c r="P19" s="7">
        <f t="shared" si="0"/>
        <v>2089</v>
      </c>
    </row>
    <row r="20" spans="1:16" ht="19.5" customHeight="1">
      <c r="A20" s="75"/>
      <c r="B20" s="91"/>
      <c r="C20" s="92"/>
      <c r="D20" s="9">
        <v>0</v>
      </c>
      <c r="E20" s="9">
        <v>0</v>
      </c>
      <c r="F20" s="9">
        <v>0</v>
      </c>
      <c r="G20" s="9">
        <v>51</v>
      </c>
      <c r="H20" s="9">
        <v>7</v>
      </c>
      <c r="I20" s="9">
        <v>0</v>
      </c>
      <c r="J20" s="9">
        <v>0</v>
      </c>
      <c r="K20" s="9"/>
      <c r="L20" s="9"/>
      <c r="M20" s="9"/>
      <c r="N20" s="9"/>
      <c r="O20" s="9"/>
      <c r="P20" s="10">
        <f t="shared" si="0"/>
        <v>58</v>
      </c>
    </row>
    <row r="21" spans="1:18" ht="19.5" customHeight="1">
      <c r="A21" s="74" t="s">
        <v>88</v>
      </c>
      <c r="B21" s="90">
        <v>36</v>
      </c>
      <c r="C21" s="80">
        <v>1</v>
      </c>
      <c r="D21" s="6">
        <v>0</v>
      </c>
      <c r="E21" s="6">
        <v>60</v>
      </c>
      <c r="F21" s="6">
        <v>60</v>
      </c>
      <c r="G21" s="6">
        <v>5240</v>
      </c>
      <c r="H21" s="6">
        <v>600</v>
      </c>
      <c r="I21" s="6">
        <v>360</v>
      </c>
      <c r="J21" s="6">
        <v>0</v>
      </c>
      <c r="K21" s="6"/>
      <c r="L21" s="6"/>
      <c r="M21" s="48"/>
      <c r="N21" s="6"/>
      <c r="O21" s="6"/>
      <c r="P21" s="7">
        <f t="shared" si="0"/>
        <v>6320</v>
      </c>
      <c r="Q21" s="103"/>
      <c r="R21" s="49"/>
    </row>
    <row r="22" spans="1:18" ht="19.5" customHeight="1">
      <c r="A22" s="75"/>
      <c r="B22" s="91"/>
      <c r="C22" s="92"/>
      <c r="D22" s="9">
        <v>0</v>
      </c>
      <c r="E22" s="9">
        <v>0</v>
      </c>
      <c r="F22" s="9">
        <v>0</v>
      </c>
      <c r="G22" s="9">
        <v>536</v>
      </c>
      <c r="H22" s="9">
        <v>284</v>
      </c>
      <c r="I22" s="9">
        <v>35</v>
      </c>
      <c r="J22" s="9">
        <v>0</v>
      </c>
      <c r="K22" s="9"/>
      <c r="L22" s="9"/>
      <c r="M22" s="9"/>
      <c r="N22" s="9"/>
      <c r="O22" s="9"/>
      <c r="P22" s="10">
        <f t="shared" si="0"/>
        <v>855</v>
      </c>
      <c r="Q22" s="103"/>
      <c r="R22" s="49"/>
    </row>
    <row r="23" spans="1:16" ht="19.5" customHeight="1">
      <c r="A23" s="74" t="s">
        <v>90</v>
      </c>
      <c r="B23" s="90">
        <v>70</v>
      </c>
      <c r="C23" s="80">
        <v>5</v>
      </c>
      <c r="D23" s="6">
        <v>300</v>
      </c>
      <c r="E23" s="6">
        <v>0</v>
      </c>
      <c r="F23" s="6">
        <v>0</v>
      </c>
      <c r="G23" s="6">
        <v>1960</v>
      </c>
      <c r="H23" s="6">
        <v>300</v>
      </c>
      <c r="I23" s="6">
        <v>500</v>
      </c>
      <c r="J23" s="6">
        <v>300</v>
      </c>
      <c r="K23" s="6"/>
      <c r="L23" s="6"/>
      <c r="M23" s="6"/>
      <c r="N23" s="6"/>
      <c r="O23" s="6"/>
      <c r="P23" s="7">
        <f t="shared" si="0"/>
        <v>3360</v>
      </c>
    </row>
    <row r="24" spans="1:16" ht="19.5" customHeight="1">
      <c r="A24" s="75"/>
      <c r="B24" s="91"/>
      <c r="C24" s="92"/>
      <c r="D24" s="9">
        <v>110</v>
      </c>
      <c r="E24" s="9">
        <v>0</v>
      </c>
      <c r="F24" s="9">
        <v>0</v>
      </c>
      <c r="G24" s="9">
        <v>564</v>
      </c>
      <c r="H24" s="9">
        <v>50</v>
      </c>
      <c r="I24" s="9">
        <v>215</v>
      </c>
      <c r="J24" s="9">
        <v>0</v>
      </c>
      <c r="K24" s="9"/>
      <c r="L24" s="9"/>
      <c r="M24" s="9"/>
      <c r="N24" s="9"/>
      <c r="O24" s="9"/>
      <c r="P24" s="10">
        <f t="shared" si="0"/>
        <v>939</v>
      </c>
    </row>
    <row r="25" spans="1:16" ht="19.5" customHeight="1">
      <c r="A25" s="74" t="s">
        <v>120</v>
      </c>
      <c r="B25" s="90">
        <v>29</v>
      </c>
      <c r="C25" s="80">
        <v>2</v>
      </c>
      <c r="D25" s="6">
        <v>0</v>
      </c>
      <c r="E25" s="6">
        <v>0</v>
      </c>
      <c r="F25" s="6">
        <v>0</v>
      </c>
      <c r="G25" s="6">
        <v>850</v>
      </c>
      <c r="H25" s="6">
        <v>100</v>
      </c>
      <c r="I25" s="6">
        <v>500</v>
      </c>
      <c r="J25" s="6">
        <v>0</v>
      </c>
      <c r="K25" s="6"/>
      <c r="L25" s="6"/>
      <c r="M25" s="48"/>
      <c r="N25" s="6"/>
      <c r="O25" s="6"/>
      <c r="P25" s="7">
        <f t="shared" si="0"/>
        <v>1450</v>
      </c>
    </row>
    <row r="26" spans="1:16" ht="19.5" customHeight="1">
      <c r="A26" s="75"/>
      <c r="B26" s="91"/>
      <c r="C26" s="92"/>
      <c r="D26" s="9">
        <v>0</v>
      </c>
      <c r="E26" s="9">
        <v>0</v>
      </c>
      <c r="F26" s="9">
        <v>0</v>
      </c>
      <c r="G26" s="9">
        <v>204</v>
      </c>
      <c r="H26" s="9">
        <v>100</v>
      </c>
      <c r="I26" s="9">
        <v>0</v>
      </c>
      <c r="J26" s="9">
        <v>0</v>
      </c>
      <c r="K26" s="9"/>
      <c r="L26" s="9"/>
      <c r="M26" s="9"/>
      <c r="N26" s="9"/>
      <c r="O26" s="9"/>
      <c r="P26" s="10">
        <f t="shared" si="0"/>
        <v>304</v>
      </c>
    </row>
    <row r="27" spans="1:16" ht="19.5" customHeight="1">
      <c r="A27" s="74" t="s">
        <v>121</v>
      </c>
      <c r="B27" s="76">
        <f>SUM(B5:B26)</f>
        <v>417</v>
      </c>
      <c r="C27" s="76">
        <f>SUM(C5:C26)</f>
        <v>28</v>
      </c>
      <c r="D27" s="7">
        <f>D5+D7+D9+D11+D13+D15+D17+D19+D21+D23+D25</f>
        <v>650</v>
      </c>
      <c r="E27" s="7">
        <f aca="true" t="shared" si="1" ref="E27:J27">E5+E7+E9+E11+E13+E15+E17+E19+E21+E23+E25</f>
        <v>860</v>
      </c>
      <c r="F27" s="7">
        <f t="shared" si="1"/>
        <v>930</v>
      </c>
      <c r="G27" s="7">
        <f t="shared" si="1"/>
        <v>27117</v>
      </c>
      <c r="H27" s="7">
        <f t="shared" si="1"/>
        <v>4940</v>
      </c>
      <c r="I27" s="7">
        <f t="shared" si="1"/>
        <v>5075</v>
      </c>
      <c r="J27" s="7">
        <f t="shared" si="1"/>
        <v>880</v>
      </c>
      <c r="K27" s="7"/>
      <c r="L27" s="7"/>
      <c r="M27" s="7"/>
      <c r="N27" s="7"/>
      <c r="O27" s="7"/>
      <c r="P27" s="7">
        <f>SUM(P11+P9+P13+P15+P17+P19+P25+P21+P7+P23+P5)</f>
        <v>40452</v>
      </c>
    </row>
    <row r="28" spans="1:16" ht="19.5" customHeight="1">
      <c r="A28" s="75"/>
      <c r="B28" s="77"/>
      <c r="C28" s="77"/>
      <c r="D28" s="8">
        <f>D6+D8+D10+D12+D14+D16+D18+D20+D22+D24+D26</f>
        <v>363</v>
      </c>
      <c r="E28" s="8">
        <f aca="true" t="shared" si="2" ref="E28:J28">E6+E8+E10+E12+E14+E16+E18+E20+E22+E24+E26</f>
        <v>407</v>
      </c>
      <c r="F28" s="8">
        <f t="shared" si="2"/>
        <v>148</v>
      </c>
      <c r="G28" s="8">
        <f t="shared" si="2"/>
        <v>5644</v>
      </c>
      <c r="H28" s="8">
        <f t="shared" si="2"/>
        <v>1667</v>
      </c>
      <c r="I28" s="8">
        <f t="shared" si="2"/>
        <v>1567</v>
      </c>
      <c r="J28" s="8">
        <f t="shared" si="2"/>
        <v>185</v>
      </c>
      <c r="K28" s="8"/>
      <c r="L28" s="8"/>
      <c r="M28" s="8"/>
      <c r="N28" s="8"/>
      <c r="O28" s="8"/>
      <c r="P28" s="8">
        <f>SUM(P12+P10+P6+P14+P16+P18+P20+P26+P22+P8+P24)</f>
        <v>9981</v>
      </c>
    </row>
    <row r="29" spans="1:16" ht="19.5" customHeight="1">
      <c r="A29" s="13"/>
      <c r="B29" s="14"/>
      <c r="C29" s="4"/>
      <c r="D29" s="15"/>
      <c r="E29" s="15"/>
      <c r="F29" s="32"/>
      <c r="G29" s="15"/>
      <c r="H29" s="15"/>
      <c r="I29" s="15"/>
      <c r="J29" s="32"/>
      <c r="K29" s="32"/>
      <c r="L29" s="15"/>
      <c r="M29" s="15"/>
      <c r="N29" s="2"/>
      <c r="O29" s="2"/>
      <c r="P29" s="2"/>
    </row>
    <row r="30" spans="1:16" ht="19.5" customHeight="1">
      <c r="A30" s="13"/>
      <c r="B30" s="14"/>
      <c r="C30" s="4"/>
      <c r="D30" s="15"/>
      <c r="E30" s="15"/>
      <c r="F30" s="32"/>
      <c r="G30" s="15"/>
      <c r="H30" s="15"/>
      <c r="I30" s="15"/>
      <c r="J30" s="32"/>
      <c r="K30" s="32"/>
      <c r="L30" s="15"/>
      <c r="M30" s="15"/>
      <c r="N30" s="2"/>
      <c r="O30" s="2"/>
      <c r="P30" s="2"/>
    </row>
    <row r="31" spans="1:16" ht="19.5" customHeight="1">
      <c r="A31" s="11" t="s">
        <v>122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7" ht="19.5" customHeight="1">
      <c r="A32" s="83" t="s">
        <v>100</v>
      </c>
      <c r="B32" s="85" t="s">
        <v>106</v>
      </c>
      <c r="C32" s="3" t="s">
        <v>107</v>
      </c>
      <c r="D32" s="87" t="s">
        <v>108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ht="19.5" customHeight="1">
      <c r="A33" s="84"/>
      <c r="B33" s="86"/>
      <c r="C33" s="5" t="s">
        <v>109</v>
      </c>
      <c r="D33" s="5" t="s">
        <v>123</v>
      </c>
      <c r="E33" s="5" t="s">
        <v>124</v>
      </c>
      <c r="F33" s="5" t="s">
        <v>125</v>
      </c>
      <c r="G33" s="5" t="s">
        <v>126</v>
      </c>
      <c r="H33" s="5" t="s">
        <v>127</v>
      </c>
      <c r="I33" s="5" t="s">
        <v>128</v>
      </c>
      <c r="J33" s="5" t="s">
        <v>129</v>
      </c>
      <c r="K33" s="5" t="s">
        <v>130</v>
      </c>
      <c r="L33" s="54" t="s">
        <v>95</v>
      </c>
      <c r="M33" s="54" t="s">
        <v>131</v>
      </c>
      <c r="N33" s="54" t="s">
        <v>132</v>
      </c>
      <c r="O33" s="5" t="s">
        <v>133</v>
      </c>
      <c r="P33" s="5" t="s">
        <v>151</v>
      </c>
      <c r="Q33" s="12" t="s">
        <v>115</v>
      </c>
    </row>
    <row r="34" spans="1:17" ht="19.5" customHeight="1">
      <c r="A34" s="74" t="s">
        <v>91</v>
      </c>
      <c r="B34" s="76">
        <f>2+5+7+21+0+0</f>
        <v>35</v>
      </c>
      <c r="C34" s="80">
        <v>2</v>
      </c>
      <c r="D34" s="6">
        <v>10</v>
      </c>
      <c r="E34" s="6">
        <v>0</v>
      </c>
      <c r="F34" s="6">
        <v>0</v>
      </c>
      <c r="G34" s="6">
        <v>0</v>
      </c>
      <c r="H34" s="78">
        <v>50</v>
      </c>
      <c r="I34" s="79"/>
      <c r="J34" s="6">
        <v>0</v>
      </c>
      <c r="K34" s="6">
        <v>0</v>
      </c>
      <c r="L34" s="6">
        <v>171</v>
      </c>
      <c r="M34" s="6">
        <v>0</v>
      </c>
      <c r="N34" s="6">
        <v>200</v>
      </c>
      <c r="O34" s="6">
        <v>0</v>
      </c>
      <c r="P34" s="6">
        <v>0</v>
      </c>
      <c r="Q34" s="7">
        <f aca="true" t="shared" si="3" ref="Q34:Q55">SUM(D34:P34)</f>
        <v>431</v>
      </c>
    </row>
    <row r="35" spans="1:17" ht="19.5" customHeight="1">
      <c r="A35" s="75"/>
      <c r="B35" s="77"/>
      <c r="C35" s="81"/>
      <c r="D35" s="9">
        <v>3</v>
      </c>
      <c r="E35" s="9">
        <v>0</v>
      </c>
      <c r="F35" s="9">
        <v>0</v>
      </c>
      <c r="G35" s="9">
        <v>0</v>
      </c>
      <c r="H35" s="9">
        <v>3</v>
      </c>
      <c r="I35" s="46">
        <v>4</v>
      </c>
      <c r="J35" s="9">
        <v>0</v>
      </c>
      <c r="K35" s="9">
        <v>0</v>
      </c>
      <c r="L35" s="9">
        <v>16</v>
      </c>
      <c r="M35" s="9">
        <v>0</v>
      </c>
      <c r="N35" s="9">
        <v>53</v>
      </c>
      <c r="O35" s="9">
        <v>0</v>
      </c>
      <c r="P35" s="9">
        <v>0</v>
      </c>
      <c r="Q35" s="8">
        <f t="shared" si="3"/>
        <v>79</v>
      </c>
    </row>
    <row r="36" spans="1:17" ht="19.5" customHeight="1">
      <c r="A36" s="74" t="s">
        <v>89</v>
      </c>
      <c r="B36" s="76">
        <v>2</v>
      </c>
      <c r="C36" s="80">
        <v>1</v>
      </c>
      <c r="D36" s="6">
        <v>0</v>
      </c>
      <c r="E36" s="6">
        <v>0</v>
      </c>
      <c r="F36" s="6">
        <v>0</v>
      </c>
      <c r="G36" s="6">
        <v>0</v>
      </c>
      <c r="H36" s="47">
        <v>0</v>
      </c>
      <c r="I36" s="45">
        <v>0</v>
      </c>
      <c r="J36" s="6">
        <v>0</v>
      </c>
      <c r="K36" s="6">
        <v>0</v>
      </c>
      <c r="L36" s="6">
        <v>2</v>
      </c>
      <c r="M36" s="6">
        <v>0</v>
      </c>
      <c r="N36" s="6">
        <v>0</v>
      </c>
      <c r="O36" s="6">
        <v>0</v>
      </c>
      <c r="P36" s="6">
        <v>0</v>
      </c>
      <c r="Q36" s="7">
        <f t="shared" si="3"/>
        <v>2</v>
      </c>
    </row>
    <row r="37" spans="1:17" ht="19.5" customHeight="1">
      <c r="A37" s="75"/>
      <c r="B37" s="77"/>
      <c r="C37" s="81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46">
        <v>0</v>
      </c>
      <c r="J37" s="9">
        <v>0</v>
      </c>
      <c r="K37" s="9">
        <v>0</v>
      </c>
      <c r="L37" s="9">
        <v>2</v>
      </c>
      <c r="M37" s="9">
        <v>0</v>
      </c>
      <c r="N37" s="9">
        <v>0</v>
      </c>
      <c r="O37" s="9">
        <v>0</v>
      </c>
      <c r="P37" s="9">
        <v>0</v>
      </c>
      <c r="Q37" s="8">
        <f t="shared" si="3"/>
        <v>2</v>
      </c>
    </row>
    <row r="38" spans="1:17" ht="19.5" customHeight="1">
      <c r="A38" s="74" t="s">
        <v>116</v>
      </c>
      <c r="B38" s="76">
        <f>0+8+11+45+0+0</f>
        <v>64</v>
      </c>
      <c r="C38" s="80">
        <v>2</v>
      </c>
      <c r="D38" s="6">
        <v>19</v>
      </c>
      <c r="E38" s="6">
        <v>0</v>
      </c>
      <c r="F38" s="6">
        <v>0</v>
      </c>
      <c r="G38" s="6">
        <v>0</v>
      </c>
      <c r="H38" s="78">
        <v>66</v>
      </c>
      <c r="I38" s="79"/>
      <c r="J38" s="6">
        <v>0</v>
      </c>
      <c r="K38" s="6">
        <v>0</v>
      </c>
      <c r="L38" s="6">
        <v>478</v>
      </c>
      <c r="M38" s="6">
        <v>0</v>
      </c>
      <c r="N38" s="6">
        <v>0</v>
      </c>
      <c r="O38" s="6">
        <v>0</v>
      </c>
      <c r="P38" s="6">
        <v>0</v>
      </c>
      <c r="Q38" s="7">
        <f t="shared" si="3"/>
        <v>563</v>
      </c>
    </row>
    <row r="39" spans="1:17" ht="19.5" customHeight="1">
      <c r="A39" s="75"/>
      <c r="B39" s="77"/>
      <c r="C39" s="81"/>
      <c r="D39" s="9">
        <v>3</v>
      </c>
      <c r="E39" s="9">
        <v>0</v>
      </c>
      <c r="F39" s="9">
        <v>0</v>
      </c>
      <c r="G39" s="9">
        <v>0</v>
      </c>
      <c r="H39" s="9">
        <v>6</v>
      </c>
      <c r="I39" s="46">
        <v>7</v>
      </c>
      <c r="J39" s="9">
        <v>0</v>
      </c>
      <c r="K39" s="9">
        <v>0</v>
      </c>
      <c r="L39" s="9">
        <v>61</v>
      </c>
      <c r="M39" s="9">
        <v>0</v>
      </c>
      <c r="N39" s="9">
        <v>0</v>
      </c>
      <c r="O39" s="9">
        <v>0</v>
      </c>
      <c r="P39" s="9">
        <v>0</v>
      </c>
      <c r="Q39" s="8">
        <f t="shared" si="3"/>
        <v>77</v>
      </c>
    </row>
    <row r="40" spans="1:17" ht="19.5" customHeight="1">
      <c r="A40" s="74" t="s">
        <v>134</v>
      </c>
      <c r="B40" s="76">
        <v>179</v>
      </c>
      <c r="C40" s="80">
        <v>2</v>
      </c>
      <c r="D40" s="6">
        <v>15</v>
      </c>
      <c r="E40" s="6">
        <v>102</v>
      </c>
      <c r="F40" s="6">
        <v>154</v>
      </c>
      <c r="G40" s="6">
        <v>90</v>
      </c>
      <c r="H40" s="78">
        <v>10</v>
      </c>
      <c r="I40" s="79"/>
      <c r="J40" s="6">
        <v>115</v>
      </c>
      <c r="K40" s="6">
        <v>0</v>
      </c>
      <c r="L40" s="6">
        <v>1730</v>
      </c>
      <c r="M40" s="6">
        <v>467</v>
      </c>
      <c r="N40" s="6">
        <v>18</v>
      </c>
      <c r="O40" s="6">
        <v>248</v>
      </c>
      <c r="P40" s="6">
        <v>0</v>
      </c>
      <c r="Q40" s="7">
        <f t="shared" si="3"/>
        <v>2949</v>
      </c>
    </row>
    <row r="41" spans="1:17" ht="19.5" customHeight="1">
      <c r="A41" s="75"/>
      <c r="B41" s="77"/>
      <c r="C41" s="81"/>
      <c r="D41" s="9">
        <v>8</v>
      </c>
      <c r="E41" s="9">
        <v>1</v>
      </c>
      <c r="F41" s="9">
        <v>23</v>
      </c>
      <c r="G41" s="9">
        <v>5</v>
      </c>
      <c r="H41" s="9">
        <v>0</v>
      </c>
      <c r="I41" s="46">
        <v>0</v>
      </c>
      <c r="J41" s="9">
        <v>6</v>
      </c>
      <c r="K41" s="9">
        <v>0</v>
      </c>
      <c r="L41" s="9">
        <v>284</v>
      </c>
      <c r="M41" s="9">
        <v>51</v>
      </c>
      <c r="N41" s="9">
        <v>16</v>
      </c>
      <c r="O41" s="9">
        <v>33</v>
      </c>
      <c r="P41" s="9">
        <v>0</v>
      </c>
      <c r="Q41" s="8">
        <f t="shared" si="3"/>
        <v>427</v>
      </c>
    </row>
    <row r="42" spans="1:17" s="51" customFormat="1" ht="19.5" customHeight="1">
      <c r="A42" s="74" t="s">
        <v>118</v>
      </c>
      <c r="B42" s="76">
        <f>1+3+2+29+7+0</f>
        <v>42</v>
      </c>
      <c r="C42" s="80">
        <v>4</v>
      </c>
      <c r="D42" s="6">
        <v>4</v>
      </c>
      <c r="E42" s="6">
        <v>0</v>
      </c>
      <c r="F42" s="6">
        <v>0</v>
      </c>
      <c r="G42" s="6">
        <v>0</v>
      </c>
      <c r="H42" s="78">
        <v>7</v>
      </c>
      <c r="I42" s="79"/>
      <c r="J42" s="6">
        <v>29</v>
      </c>
      <c r="K42" s="6">
        <v>0</v>
      </c>
      <c r="L42" s="6">
        <v>353</v>
      </c>
      <c r="M42" s="6">
        <v>5</v>
      </c>
      <c r="N42" s="6">
        <v>0</v>
      </c>
      <c r="O42" s="6">
        <v>0</v>
      </c>
      <c r="P42" s="6">
        <v>0</v>
      </c>
      <c r="Q42" s="7">
        <f t="shared" si="3"/>
        <v>398</v>
      </c>
    </row>
    <row r="43" spans="1:17" s="51" customFormat="1" ht="19.5" customHeight="1">
      <c r="A43" s="75"/>
      <c r="B43" s="77"/>
      <c r="C43" s="81"/>
      <c r="D43" s="9">
        <v>1</v>
      </c>
      <c r="E43" s="9">
        <v>0</v>
      </c>
      <c r="F43" s="9">
        <v>0</v>
      </c>
      <c r="G43" s="9">
        <v>0</v>
      </c>
      <c r="H43" s="9">
        <v>1</v>
      </c>
      <c r="I43" s="46">
        <v>2</v>
      </c>
      <c r="J43" s="9">
        <v>2</v>
      </c>
      <c r="K43" s="9">
        <v>0</v>
      </c>
      <c r="L43" s="9">
        <v>44</v>
      </c>
      <c r="M43" s="9">
        <v>0</v>
      </c>
      <c r="N43" s="9">
        <v>0</v>
      </c>
      <c r="O43" s="9">
        <v>0</v>
      </c>
      <c r="P43" s="9">
        <v>0</v>
      </c>
      <c r="Q43" s="8">
        <f t="shared" si="3"/>
        <v>50</v>
      </c>
    </row>
    <row r="44" spans="1:17" ht="19.5" customHeight="1">
      <c r="A44" s="74" t="s">
        <v>135</v>
      </c>
      <c r="B44" s="76">
        <v>210</v>
      </c>
      <c r="C44" s="80">
        <v>4</v>
      </c>
      <c r="D44" s="6">
        <v>11</v>
      </c>
      <c r="E44" s="6">
        <v>0</v>
      </c>
      <c r="F44" s="6">
        <v>43</v>
      </c>
      <c r="G44" s="6">
        <v>0</v>
      </c>
      <c r="H44" s="78">
        <v>255</v>
      </c>
      <c r="I44" s="79"/>
      <c r="J44" s="6">
        <v>44</v>
      </c>
      <c r="K44" s="6">
        <v>30</v>
      </c>
      <c r="L44" s="6">
        <v>1309</v>
      </c>
      <c r="M44" s="6">
        <v>838</v>
      </c>
      <c r="N44" s="6">
        <v>0</v>
      </c>
      <c r="O44" s="6">
        <v>0</v>
      </c>
      <c r="P44" s="6">
        <v>0</v>
      </c>
      <c r="Q44" s="7">
        <f t="shared" si="3"/>
        <v>2530</v>
      </c>
    </row>
    <row r="45" spans="1:17" ht="19.5" customHeight="1">
      <c r="A45" s="75"/>
      <c r="B45" s="77"/>
      <c r="C45" s="81"/>
      <c r="D45" s="9">
        <v>3</v>
      </c>
      <c r="E45" s="9">
        <v>0</v>
      </c>
      <c r="F45" s="9">
        <v>15</v>
      </c>
      <c r="G45" s="9">
        <v>0</v>
      </c>
      <c r="H45" s="9">
        <v>28</v>
      </c>
      <c r="I45" s="46">
        <v>74</v>
      </c>
      <c r="J45" s="9">
        <v>22</v>
      </c>
      <c r="K45" s="9">
        <v>20</v>
      </c>
      <c r="L45" s="9">
        <v>225</v>
      </c>
      <c r="M45" s="9">
        <v>150</v>
      </c>
      <c r="N45" s="9">
        <v>0</v>
      </c>
      <c r="O45" s="9">
        <v>1</v>
      </c>
      <c r="P45" s="9">
        <v>0</v>
      </c>
      <c r="Q45" s="8">
        <f t="shared" si="3"/>
        <v>538</v>
      </c>
    </row>
    <row r="46" spans="1:17" s="51" customFormat="1" ht="19.5" customHeight="1">
      <c r="A46" s="74" t="s">
        <v>101</v>
      </c>
      <c r="B46" s="76">
        <f>1+0+42+103+22+1</f>
        <v>169</v>
      </c>
      <c r="C46" s="80">
        <v>7</v>
      </c>
      <c r="D46" s="6">
        <v>53</v>
      </c>
      <c r="E46" s="6">
        <v>0</v>
      </c>
      <c r="F46" s="6">
        <v>0</v>
      </c>
      <c r="G46" s="6">
        <v>30</v>
      </c>
      <c r="H46" s="7">
        <v>0</v>
      </c>
      <c r="I46" s="50">
        <v>0</v>
      </c>
      <c r="J46" s="6">
        <v>174</v>
      </c>
      <c r="K46" s="6">
        <v>0</v>
      </c>
      <c r="L46" s="6">
        <v>2100</v>
      </c>
      <c r="M46" s="6">
        <v>0</v>
      </c>
      <c r="N46" s="6">
        <v>0</v>
      </c>
      <c r="O46" s="6">
        <v>0</v>
      </c>
      <c r="P46" s="6">
        <v>10</v>
      </c>
      <c r="Q46" s="7">
        <f t="shared" si="3"/>
        <v>2367</v>
      </c>
    </row>
    <row r="47" spans="1:17" s="51" customFormat="1" ht="19.5" customHeight="1">
      <c r="A47" s="75"/>
      <c r="B47" s="77"/>
      <c r="C47" s="81"/>
      <c r="D47" s="9">
        <v>33</v>
      </c>
      <c r="E47" s="9">
        <v>0</v>
      </c>
      <c r="F47" s="9">
        <v>0</v>
      </c>
      <c r="G47" s="9">
        <v>0</v>
      </c>
      <c r="H47" s="9">
        <v>0</v>
      </c>
      <c r="I47" s="46">
        <v>0</v>
      </c>
      <c r="J47" s="9">
        <v>12</v>
      </c>
      <c r="K47" s="9">
        <v>0</v>
      </c>
      <c r="L47" s="9">
        <v>395</v>
      </c>
      <c r="M47" s="9">
        <v>0</v>
      </c>
      <c r="N47" s="9">
        <v>0</v>
      </c>
      <c r="O47" s="9">
        <v>0</v>
      </c>
      <c r="P47" s="9">
        <v>10</v>
      </c>
      <c r="Q47" s="8">
        <f t="shared" si="3"/>
        <v>450</v>
      </c>
    </row>
    <row r="48" spans="1:17" ht="19.5" customHeight="1">
      <c r="A48" s="74" t="s">
        <v>102</v>
      </c>
      <c r="B48" s="76">
        <f>13+14+62+82+27+0</f>
        <v>198</v>
      </c>
      <c r="C48" s="80">
        <v>4</v>
      </c>
      <c r="D48" s="6">
        <v>77</v>
      </c>
      <c r="E48" s="6">
        <v>0</v>
      </c>
      <c r="F48" s="6">
        <v>10</v>
      </c>
      <c r="G48" s="6">
        <v>0</v>
      </c>
      <c r="H48" s="78">
        <v>172</v>
      </c>
      <c r="I48" s="82"/>
      <c r="J48" s="6">
        <v>453</v>
      </c>
      <c r="K48" s="6">
        <v>0</v>
      </c>
      <c r="L48" s="6">
        <v>1151</v>
      </c>
      <c r="M48" s="6">
        <v>205</v>
      </c>
      <c r="N48" s="6">
        <v>0</v>
      </c>
      <c r="O48" s="6">
        <v>1</v>
      </c>
      <c r="P48" s="6">
        <v>0</v>
      </c>
      <c r="Q48" s="7">
        <f t="shared" si="3"/>
        <v>2069</v>
      </c>
    </row>
    <row r="49" spans="1:17" ht="19.5" customHeight="1">
      <c r="A49" s="75"/>
      <c r="B49" s="77"/>
      <c r="C49" s="81"/>
      <c r="D49" s="9">
        <v>33</v>
      </c>
      <c r="E49" s="9">
        <v>0</v>
      </c>
      <c r="F49" s="9">
        <v>0</v>
      </c>
      <c r="G49" s="9">
        <v>0</v>
      </c>
      <c r="H49" s="9">
        <v>20</v>
      </c>
      <c r="I49" s="46">
        <v>26</v>
      </c>
      <c r="J49" s="9">
        <v>67</v>
      </c>
      <c r="K49" s="9">
        <v>0</v>
      </c>
      <c r="L49" s="9">
        <v>71</v>
      </c>
      <c r="M49" s="9">
        <v>19</v>
      </c>
      <c r="N49" s="9">
        <v>0</v>
      </c>
      <c r="O49" s="9">
        <v>1</v>
      </c>
      <c r="P49" s="9">
        <v>0</v>
      </c>
      <c r="Q49" s="8">
        <f t="shared" si="3"/>
        <v>237</v>
      </c>
    </row>
    <row r="50" spans="1:17" ht="19.5" customHeight="1">
      <c r="A50" s="74" t="s">
        <v>88</v>
      </c>
      <c r="B50" s="76">
        <f>0+0+0+37+0+0</f>
        <v>37</v>
      </c>
      <c r="C50" s="80">
        <v>1</v>
      </c>
      <c r="D50" s="6">
        <v>0</v>
      </c>
      <c r="E50" s="6">
        <v>0</v>
      </c>
      <c r="F50" s="6">
        <v>0</v>
      </c>
      <c r="G50" s="6">
        <v>0</v>
      </c>
      <c r="H50" s="47">
        <v>0</v>
      </c>
      <c r="I50" s="45">
        <v>0</v>
      </c>
      <c r="J50" s="6">
        <v>0</v>
      </c>
      <c r="K50" s="6">
        <v>0</v>
      </c>
      <c r="L50" s="6">
        <v>392</v>
      </c>
      <c r="M50" s="6">
        <v>0</v>
      </c>
      <c r="N50" s="6">
        <v>0</v>
      </c>
      <c r="O50" s="6">
        <v>0</v>
      </c>
      <c r="P50" s="6">
        <v>0</v>
      </c>
      <c r="Q50" s="7">
        <f t="shared" si="3"/>
        <v>392</v>
      </c>
    </row>
    <row r="51" spans="1:17" ht="19.5" customHeight="1">
      <c r="A51" s="75"/>
      <c r="B51" s="77"/>
      <c r="C51" s="81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46">
        <v>0</v>
      </c>
      <c r="J51" s="9">
        <v>0</v>
      </c>
      <c r="K51" s="9">
        <v>0</v>
      </c>
      <c r="L51" s="9">
        <v>34</v>
      </c>
      <c r="M51" s="9">
        <v>0</v>
      </c>
      <c r="N51" s="9">
        <v>0</v>
      </c>
      <c r="O51" s="9">
        <v>0</v>
      </c>
      <c r="P51" s="9">
        <v>0</v>
      </c>
      <c r="Q51" s="8">
        <f t="shared" si="3"/>
        <v>34</v>
      </c>
    </row>
    <row r="52" spans="1:17" ht="19.5" customHeight="1">
      <c r="A52" s="74" t="s">
        <v>90</v>
      </c>
      <c r="B52" s="76">
        <v>2</v>
      </c>
      <c r="C52" s="80">
        <v>1</v>
      </c>
      <c r="D52" s="6">
        <v>0</v>
      </c>
      <c r="E52" s="6">
        <v>0</v>
      </c>
      <c r="F52" s="6">
        <v>0</v>
      </c>
      <c r="G52" s="6">
        <v>0</v>
      </c>
      <c r="H52" s="47">
        <v>0</v>
      </c>
      <c r="I52" s="45">
        <v>0</v>
      </c>
      <c r="J52" s="6">
        <v>0</v>
      </c>
      <c r="K52" s="6">
        <v>0</v>
      </c>
      <c r="L52" s="6">
        <v>2</v>
      </c>
      <c r="M52" s="6">
        <v>0</v>
      </c>
      <c r="N52" s="6">
        <v>0</v>
      </c>
      <c r="O52" s="6">
        <v>0</v>
      </c>
      <c r="P52" s="6">
        <v>0</v>
      </c>
      <c r="Q52" s="7">
        <f t="shared" si="3"/>
        <v>2</v>
      </c>
    </row>
    <row r="53" spans="1:17" ht="19.5" customHeight="1">
      <c r="A53" s="75"/>
      <c r="B53" s="77"/>
      <c r="C53" s="81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1</v>
      </c>
      <c r="M53" s="9">
        <v>0</v>
      </c>
      <c r="N53" s="9">
        <v>0</v>
      </c>
      <c r="O53" s="9">
        <v>0</v>
      </c>
      <c r="P53" s="9">
        <v>0</v>
      </c>
      <c r="Q53" s="8">
        <f t="shared" si="3"/>
        <v>1</v>
      </c>
    </row>
    <row r="54" spans="1:17" ht="19.5" customHeight="1">
      <c r="A54" s="74" t="s">
        <v>120</v>
      </c>
      <c r="B54" s="76">
        <f>44+37+5+57+19+0</f>
        <v>162</v>
      </c>
      <c r="C54" s="80">
        <v>2</v>
      </c>
      <c r="D54" s="6">
        <v>5</v>
      </c>
      <c r="E54" s="6">
        <v>24</v>
      </c>
      <c r="F54" s="6">
        <v>40</v>
      </c>
      <c r="G54" s="6">
        <v>0</v>
      </c>
      <c r="H54" s="78">
        <v>320</v>
      </c>
      <c r="I54" s="79"/>
      <c r="J54" s="6">
        <v>201</v>
      </c>
      <c r="K54" s="6">
        <v>0</v>
      </c>
      <c r="L54" s="6">
        <v>1268</v>
      </c>
      <c r="M54" s="6">
        <v>40</v>
      </c>
      <c r="N54" s="6">
        <v>100</v>
      </c>
      <c r="O54" s="6">
        <v>0</v>
      </c>
      <c r="P54" s="6">
        <v>0</v>
      </c>
      <c r="Q54" s="7">
        <f t="shared" si="3"/>
        <v>1998</v>
      </c>
    </row>
    <row r="55" spans="1:17" ht="19.5" customHeight="1">
      <c r="A55" s="75"/>
      <c r="B55" s="77"/>
      <c r="C55" s="81"/>
      <c r="D55" s="9">
        <v>5</v>
      </c>
      <c r="E55" s="9">
        <v>2</v>
      </c>
      <c r="F55" s="9">
        <v>9</v>
      </c>
      <c r="G55" s="9">
        <v>0</v>
      </c>
      <c r="H55" s="9">
        <v>55</v>
      </c>
      <c r="I55" s="46">
        <v>81</v>
      </c>
      <c r="J55" s="9">
        <v>51</v>
      </c>
      <c r="K55" s="9">
        <v>0</v>
      </c>
      <c r="L55" s="9">
        <v>345</v>
      </c>
      <c r="M55" s="9">
        <v>5</v>
      </c>
      <c r="N55" s="9">
        <v>54</v>
      </c>
      <c r="O55" s="9">
        <v>0</v>
      </c>
      <c r="P55" s="9">
        <v>0</v>
      </c>
      <c r="Q55" s="8">
        <f t="shared" si="3"/>
        <v>607</v>
      </c>
    </row>
    <row r="56" spans="1:17" ht="19.5" customHeight="1">
      <c r="A56" s="74" t="s">
        <v>136</v>
      </c>
      <c r="B56" s="76">
        <f>SUM(B34:B55)</f>
        <v>1100</v>
      </c>
      <c r="C56" s="76">
        <f>SUM(C34:C55)</f>
        <v>30</v>
      </c>
      <c r="D56" s="7">
        <f>D34+D36+D38+D40+D42+D44+D46+D48+D50+D52+D54</f>
        <v>194</v>
      </c>
      <c r="E56" s="7">
        <f aca="true" t="shared" si="4" ref="E56:J56">E34+E36+E38+E40+E42+E44+E46+E48+E50+E52+E54</f>
        <v>126</v>
      </c>
      <c r="F56" s="7">
        <f t="shared" si="4"/>
        <v>247</v>
      </c>
      <c r="G56" s="7">
        <f t="shared" si="4"/>
        <v>120</v>
      </c>
      <c r="H56" s="78">
        <f>H34+H36+H38+H40+H42+H44+H46+H48+H50+H52+H54</f>
        <v>880</v>
      </c>
      <c r="I56" s="79"/>
      <c r="J56" s="7">
        <f t="shared" si="4"/>
        <v>1016</v>
      </c>
      <c r="K56" s="7">
        <f aca="true" t="shared" si="5" ref="K56:P56">K34+K36+K38+K40+K42+K44+K46+K48+K50+K52+K54</f>
        <v>30</v>
      </c>
      <c r="L56" s="7">
        <f t="shared" si="5"/>
        <v>8956</v>
      </c>
      <c r="M56" s="7">
        <f t="shared" si="5"/>
        <v>1555</v>
      </c>
      <c r="N56" s="7">
        <f t="shared" si="5"/>
        <v>318</v>
      </c>
      <c r="O56" s="7">
        <f>O34+O36+O38+O40+O42+O44+O46+O48+O50+O52+O54</f>
        <v>249</v>
      </c>
      <c r="P56" s="7">
        <f t="shared" si="5"/>
        <v>10</v>
      </c>
      <c r="Q56" s="7">
        <f>SUM(Q40+Q38+Q42+Q44+Q46+Q48+Q54+Q50+Q36+Q52+Q34)</f>
        <v>13701</v>
      </c>
    </row>
    <row r="57" spans="1:17" ht="19.5" customHeight="1">
      <c r="A57" s="75"/>
      <c r="B57" s="77"/>
      <c r="C57" s="77"/>
      <c r="D57" s="8">
        <f>D35+D37+D39+D41+D43+D45+D47+D49+D51+D53+D55</f>
        <v>89</v>
      </c>
      <c r="E57" s="8">
        <f aca="true" t="shared" si="6" ref="E57:J57">E35+E37+E39+E41+E43+E45+E47+E49+E51+E53+E55</f>
        <v>3</v>
      </c>
      <c r="F57" s="8">
        <f t="shared" si="6"/>
        <v>47</v>
      </c>
      <c r="G57" s="8">
        <f t="shared" si="6"/>
        <v>5</v>
      </c>
      <c r="H57" s="8">
        <f t="shared" si="6"/>
        <v>113</v>
      </c>
      <c r="I57" s="8">
        <f>I35+I37+I39+I41+I43+I45+I47+I49+I51+I53+I55</f>
        <v>194</v>
      </c>
      <c r="J57" s="8">
        <f t="shared" si="6"/>
        <v>160</v>
      </c>
      <c r="K57" s="8">
        <f aca="true" t="shared" si="7" ref="K57:P57">K35+K37+K39+K41+K43+K45+K47+K49+K51+K53+K55</f>
        <v>20</v>
      </c>
      <c r="L57" s="8">
        <f t="shared" si="7"/>
        <v>1478</v>
      </c>
      <c r="M57" s="8">
        <f t="shared" si="7"/>
        <v>225</v>
      </c>
      <c r="N57" s="8">
        <f t="shared" si="7"/>
        <v>123</v>
      </c>
      <c r="O57" s="8">
        <f>O35+O37+O39+O41+O43+O45+O47+O49+O51+O53+O55</f>
        <v>35</v>
      </c>
      <c r="P57" s="8">
        <f t="shared" si="7"/>
        <v>10</v>
      </c>
      <c r="Q57" s="8">
        <f>SUM(Q41+Q39+Q35+Q43+Q45+Q47+Q49+Q55+Q51+Q37+Q53)</f>
        <v>2502</v>
      </c>
    </row>
  </sheetData>
  <sheetProtection/>
  <mergeCells count="87">
    <mergeCell ref="A56:A57"/>
    <mergeCell ref="B56:B57"/>
    <mergeCell ref="C56:C57"/>
    <mergeCell ref="A36:A37"/>
    <mergeCell ref="B36:B37"/>
    <mergeCell ref="C36:C37"/>
    <mergeCell ref="A52:A53"/>
    <mergeCell ref="B52:B53"/>
    <mergeCell ref="C52:C53"/>
    <mergeCell ref="A54:A55"/>
    <mergeCell ref="A48:A49"/>
    <mergeCell ref="B48:B49"/>
    <mergeCell ref="C48:C49"/>
    <mergeCell ref="B54:B55"/>
    <mergeCell ref="C54:C55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C34:C35"/>
    <mergeCell ref="A42:A43"/>
    <mergeCell ref="B42:B43"/>
    <mergeCell ref="C42:C43"/>
    <mergeCell ref="C40:C41"/>
    <mergeCell ref="C38:C39"/>
    <mergeCell ref="A32:A33"/>
    <mergeCell ref="B32:B33"/>
    <mergeCell ref="A40:A41"/>
    <mergeCell ref="B40:B41"/>
    <mergeCell ref="A38:A39"/>
    <mergeCell ref="B38:B39"/>
    <mergeCell ref="A34:A35"/>
    <mergeCell ref="B34:B35"/>
    <mergeCell ref="A23:A24"/>
    <mergeCell ref="B23:B24"/>
    <mergeCell ref="C23:C24"/>
    <mergeCell ref="A27:A28"/>
    <mergeCell ref="B27:B28"/>
    <mergeCell ref="C27:C28"/>
    <mergeCell ref="A25:A26"/>
    <mergeCell ref="B25:B26"/>
    <mergeCell ref="C25:C26"/>
    <mergeCell ref="A21:A22"/>
    <mergeCell ref="B21:B22"/>
    <mergeCell ref="C21:C22"/>
    <mergeCell ref="A19:A20"/>
    <mergeCell ref="B19:B20"/>
    <mergeCell ref="C19:C20"/>
    <mergeCell ref="B15:B16"/>
    <mergeCell ref="C15:C16"/>
    <mergeCell ref="A15:A16"/>
    <mergeCell ref="A17:A18"/>
    <mergeCell ref="B17:B18"/>
    <mergeCell ref="C17:C18"/>
    <mergeCell ref="A13:A14"/>
    <mergeCell ref="B13:B14"/>
    <mergeCell ref="C13:C14"/>
    <mergeCell ref="A3:A4"/>
    <mergeCell ref="B3:B4"/>
    <mergeCell ref="B5:B6"/>
    <mergeCell ref="C5:C6"/>
    <mergeCell ref="A7:A8"/>
    <mergeCell ref="B7:B8"/>
    <mergeCell ref="C7:C8"/>
    <mergeCell ref="D3:P3"/>
    <mergeCell ref="A11:A12"/>
    <mergeCell ref="B11:B12"/>
    <mergeCell ref="C11:C12"/>
    <mergeCell ref="A9:A10"/>
    <mergeCell ref="B9:B10"/>
    <mergeCell ref="C9:C10"/>
    <mergeCell ref="A5:A6"/>
    <mergeCell ref="H56:I56"/>
    <mergeCell ref="H42:I42"/>
    <mergeCell ref="H54:I54"/>
    <mergeCell ref="Q21:Q22"/>
    <mergeCell ref="H48:I48"/>
    <mergeCell ref="H44:I44"/>
    <mergeCell ref="D32:Q32"/>
    <mergeCell ref="H34:I34"/>
    <mergeCell ref="H38:I38"/>
    <mergeCell ref="H40:I40"/>
  </mergeCells>
  <printOptions/>
  <pageMargins left="0.75" right="0.52" top="1" bottom="1" header="0.512" footer="0.512"/>
  <pageSetup horizontalDpi="600" verticalDpi="600" orientation="portrait" paperSize="9" scale="59" r:id="rId1"/>
  <headerFooter alignWithMargins="0">
    <oddFooter>&amp;C&amp;14-22-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R60"/>
  <sheetViews>
    <sheetView zoomScale="70" zoomScaleNormal="70" zoomScalePageLayoutView="0" workbookViewId="0" topLeftCell="A19">
      <selection activeCell="A1" sqref="A1"/>
    </sheetView>
  </sheetViews>
  <sheetFormatPr defaultColWidth="9.00390625" defaultRowHeight="13.5"/>
  <cols>
    <col min="9" max="9" width="9.00390625" style="51" customWidth="1"/>
    <col min="17" max="17" width="12.875" style="0" customWidth="1"/>
  </cols>
  <sheetData>
    <row r="1" spans="1:16" ht="19.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83" t="s">
        <v>100</v>
      </c>
      <c r="B3" s="85" t="s">
        <v>106</v>
      </c>
      <c r="C3" s="3" t="s">
        <v>107</v>
      </c>
      <c r="D3" s="104" t="s">
        <v>108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9.5" customHeight="1">
      <c r="A4" s="84"/>
      <c r="B4" s="86"/>
      <c r="C4" s="5" t="s">
        <v>109</v>
      </c>
      <c r="D4" s="5" t="s">
        <v>110</v>
      </c>
      <c r="E4" s="5" t="s">
        <v>111</v>
      </c>
      <c r="F4" s="5" t="s">
        <v>112</v>
      </c>
      <c r="G4" s="5" t="s">
        <v>39</v>
      </c>
      <c r="H4" s="5" t="s">
        <v>40</v>
      </c>
      <c r="I4" s="5" t="s">
        <v>113</v>
      </c>
      <c r="J4" s="16" t="s">
        <v>114</v>
      </c>
      <c r="K4" s="17"/>
      <c r="L4" s="17"/>
      <c r="M4" s="17"/>
      <c r="N4" s="5"/>
      <c r="O4" s="5"/>
      <c r="P4" s="12" t="s">
        <v>115</v>
      </c>
    </row>
    <row r="5" spans="1:17" ht="19.5" customHeight="1">
      <c r="A5" s="74" t="s">
        <v>91</v>
      </c>
      <c r="B5" s="90">
        <v>91</v>
      </c>
      <c r="C5" s="80">
        <v>1</v>
      </c>
      <c r="D5" s="6">
        <v>0</v>
      </c>
      <c r="E5" s="6">
        <v>0</v>
      </c>
      <c r="F5" s="6">
        <v>0</v>
      </c>
      <c r="G5" s="6">
        <v>340</v>
      </c>
      <c r="H5" s="6">
        <v>0</v>
      </c>
      <c r="I5" s="6">
        <v>1350</v>
      </c>
      <c r="J5" s="6">
        <v>0</v>
      </c>
      <c r="K5" s="6"/>
      <c r="L5" s="6"/>
      <c r="M5" s="6"/>
      <c r="N5" s="6"/>
      <c r="O5" s="6"/>
      <c r="P5" s="7">
        <f aca="true" t="shared" si="0" ref="P5:P26">SUM(D5:N5)</f>
        <v>1690</v>
      </c>
      <c r="Q5" s="49" t="s">
        <v>103</v>
      </c>
    </row>
    <row r="6" spans="1:17" ht="19.5" customHeight="1">
      <c r="A6" s="75"/>
      <c r="B6" s="91"/>
      <c r="C6" s="92"/>
      <c r="D6" s="9">
        <v>0</v>
      </c>
      <c r="E6" s="9">
        <v>0</v>
      </c>
      <c r="F6" s="9">
        <v>0</v>
      </c>
      <c r="G6" s="9">
        <v>41</v>
      </c>
      <c r="H6" s="9">
        <v>0</v>
      </c>
      <c r="I6" s="9">
        <v>1127</v>
      </c>
      <c r="J6" s="9">
        <v>0</v>
      </c>
      <c r="K6" s="9"/>
      <c r="L6" s="9"/>
      <c r="M6" s="9"/>
      <c r="N6" s="9"/>
      <c r="O6" s="9"/>
      <c r="P6" s="10">
        <f>SUM(D6:O6)</f>
        <v>1168</v>
      </c>
      <c r="Q6" s="49"/>
    </row>
    <row r="7" spans="1:16" s="51" customFormat="1" ht="19.5" customHeight="1">
      <c r="A7" s="74" t="s">
        <v>89</v>
      </c>
      <c r="B7" s="90">
        <v>90</v>
      </c>
      <c r="C7" s="80">
        <v>2</v>
      </c>
      <c r="D7" s="6">
        <v>200</v>
      </c>
      <c r="E7" s="6">
        <v>300</v>
      </c>
      <c r="F7" s="6">
        <v>0</v>
      </c>
      <c r="G7" s="6">
        <v>1597</v>
      </c>
      <c r="H7" s="6">
        <v>2500</v>
      </c>
      <c r="I7" s="6">
        <v>1260</v>
      </c>
      <c r="J7" s="6">
        <v>0</v>
      </c>
      <c r="K7" s="6"/>
      <c r="L7" s="6"/>
      <c r="M7" s="6"/>
      <c r="N7" s="6"/>
      <c r="O7" s="6"/>
      <c r="P7" s="7">
        <f t="shared" si="0"/>
        <v>5857</v>
      </c>
    </row>
    <row r="8" spans="1:16" s="51" customFormat="1" ht="19.5" customHeight="1">
      <c r="A8" s="75"/>
      <c r="B8" s="91"/>
      <c r="C8" s="92"/>
      <c r="D8" s="9">
        <v>161</v>
      </c>
      <c r="E8" s="9">
        <v>466</v>
      </c>
      <c r="F8" s="9">
        <v>0</v>
      </c>
      <c r="G8" s="9">
        <v>496</v>
      </c>
      <c r="H8" s="9">
        <v>2430</v>
      </c>
      <c r="I8" s="9">
        <v>545</v>
      </c>
      <c r="J8" s="9">
        <v>0</v>
      </c>
      <c r="K8" s="9"/>
      <c r="L8" s="9"/>
      <c r="M8" s="9"/>
      <c r="N8" s="9"/>
      <c r="O8" s="9"/>
      <c r="P8" s="10">
        <f>SUM(D8:O8)</f>
        <v>4098</v>
      </c>
    </row>
    <row r="9" spans="1:16" ht="19.5" customHeight="1">
      <c r="A9" s="74" t="s">
        <v>116</v>
      </c>
      <c r="B9" s="90">
        <v>10</v>
      </c>
      <c r="C9" s="80">
        <v>3</v>
      </c>
      <c r="D9" s="6">
        <v>0</v>
      </c>
      <c r="E9" s="6">
        <v>200</v>
      </c>
      <c r="F9" s="6">
        <v>520</v>
      </c>
      <c r="G9" s="6">
        <v>2016</v>
      </c>
      <c r="H9" s="6">
        <v>620</v>
      </c>
      <c r="I9" s="6">
        <v>200</v>
      </c>
      <c r="J9" s="6">
        <v>100</v>
      </c>
      <c r="K9" s="6"/>
      <c r="L9" s="6"/>
      <c r="M9" s="6"/>
      <c r="N9" s="6"/>
      <c r="O9" s="6"/>
      <c r="P9" s="7">
        <f t="shared" si="0"/>
        <v>3656</v>
      </c>
    </row>
    <row r="10" spans="1:16" ht="19.5" customHeight="1">
      <c r="A10" s="75"/>
      <c r="B10" s="91"/>
      <c r="C10" s="92"/>
      <c r="D10" s="9">
        <v>0</v>
      </c>
      <c r="E10" s="9">
        <v>50</v>
      </c>
      <c r="F10" s="9">
        <v>36</v>
      </c>
      <c r="G10" s="9">
        <v>406</v>
      </c>
      <c r="H10" s="9">
        <v>304</v>
      </c>
      <c r="I10" s="9">
        <v>0</v>
      </c>
      <c r="J10" s="9">
        <v>12</v>
      </c>
      <c r="K10" s="9"/>
      <c r="L10" s="9"/>
      <c r="M10" s="9"/>
      <c r="N10" s="9"/>
      <c r="O10" s="9"/>
      <c r="P10" s="10">
        <f t="shared" si="0"/>
        <v>808</v>
      </c>
    </row>
    <row r="11" spans="1:16" ht="19.5" customHeight="1">
      <c r="A11" s="74" t="s">
        <v>117</v>
      </c>
      <c r="B11" s="90">
        <v>44</v>
      </c>
      <c r="C11" s="80">
        <v>2</v>
      </c>
      <c r="D11" s="6">
        <v>150</v>
      </c>
      <c r="E11" s="6">
        <v>0</v>
      </c>
      <c r="F11" s="6">
        <v>0</v>
      </c>
      <c r="G11" s="6">
        <v>2434</v>
      </c>
      <c r="H11" s="6">
        <v>1900</v>
      </c>
      <c r="I11" s="6">
        <v>1480</v>
      </c>
      <c r="J11" s="6">
        <v>0</v>
      </c>
      <c r="K11" s="6"/>
      <c r="L11" s="6"/>
      <c r="M11" s="6"/>
      <c r="N11" s="6"/>
      <c r="O11" s="6"/>
      <c r="P11" s="7">
        <f t="shared" si="0"/>
        <v>5964</v>
      </c>
    </row>
    <row r="12" spans="1:16" ht="19.5" customHeight="1">
      <c r="A12" s="75"/>
      <c r="B12" s="91"/>
      <c r="C12" s="92"/>
      <c r="D12" s="9">
        <v>35</v>
      </c>
      <c r="E12" s="9">
        <v>0</v>
      </c>
      <c r="F12" s="9">
        <v>0</v>
      </c>
      <c r="G12" s="9">
        <v>688</v>
      </c>
      <c r="H12" s="9">
        <v>616</v>
      </c>
      <c r="I12" s="9">
        <v>187</v>
      </c>
      <c r="J12" s="9">
        <v>0</v>
      </c>
      <c r="K12" s="9"/>
      <c r="L12" s="9"/>
      <c r="M12" s="9"/>
      <c r="N12" s="9"/>
      <c r="O12" s="9"/>
      <c r="P12" s="10">
        <f t="shared" si="0"/>
        <v>1526</v>
      </c>
    </row>
    <row r="13" spans="1:16" ht="19.5" customHeight="1">
      <c r="A13" s="74" t="s">
        <v>118</v>
      </c>
      <c r="B13" s="90">
        <v>7</v>
      </c>
      <c r="C13" s="80">
        <v>3</v>
      </c>
      <c r="D13" s="6">
        <v>0</v>
      </c>
      <c r="E13" s="6">
        <v>0</v>
      </c>
      <c r="F13" s="6">
        <v>0</v>
      </c>
      <c r="G13" s="6">
        <v>230</v>
      </c>
      <c r="H13" s="6">
        <v>0</v>
      </c>
      <c r="I13" s="6">
        <v>0</v>
      </c>
      <c r="J13" s="6">
        <v>0</v>
      </c>
      <c r="K13" s="6"/>
      <c r="L13" s="6"/>
      <c r="M13" s="6"/>
      <c r="N13" s="6"/>
      <c r="O13" s="6"/>
      <c r="P13" s="7">
        <f t="shared" si="0"/>
        <v>230</v>
      </c>
    </row>
    <row r="14" spans="1:16" ht="19.5" customHeight="1">
      <c r="A14" s="75"/>
      <c r="B14" s="91"/>
      <c r="C14" s="92"/>
      <c r="D14" s="9">
        <v>0</v>
      </c>
      <c r="E14" s="9">
        <v>0</v>
      </c>
      <c r="F14" s="9">
        <v>0</v>
      </c>
      <c r="G14" s="9">
        <v>50</v>
      </c>
      <c r="H14" s="9">
        <v>0</v>
      </c>
      <c r="I14" s="9">
        <v>0</v>
      </c>
      <c r="J14" s="9">
        <v>0</v>
      </c>
      <c r="K14" s="9"/>
      <c r="L14" s="9"/>
      <c r="M14" s="9"/>
      <c r="N14" s="9"/>
      <c r="O14" s="9"/>
      <c r="P14" s="10">
        <f t="shared" si="0"/>
        <v>50</v>
      </c>
    </row>
    <row r="15" spans="1:16" ht="19.5" customHeight="1">
      <c r="A15" s="74" t="s">
        <v>119</v>
      </c>
      <c r="B15" s="90">
        <v>22</v>
      </c>
      <c r="C15" s="80">
        <v>3</v>
      </c>
      <c r="D15" s="6">
        <v>0</v>
      </c>
      <c r="E15" s="6">
        <v>0</v>
      </c>
      <c r="F15" s="6">
        <v>0</v>
      </c>
      <c r="G15" s="6">
        <v>1025</v>
      </c>
      <c r="H15" s="6">
        <v>0</v>
      </c>
      <c r="I15" s="6">
        <v>0</v>
      </c>
      <c r="J15" s="6">
        <v>0</v>
      </c>
      <c r="K15" s="6"/>
      <c r="L15" s="6"/>
      <c r="M15" s="6"/>
      <c r="N15" s="6"/>
      <c r="O15" s="6"/>
      <c r="P15" s="7">
        <f t="shared" si="0"/>
        <v>1025</v>
      </c>
    </row>
    <row r="16" spans="1:16" ht="19.5" customHeight="1">
      <c r="A16" s="75"/>
      <c r="B16" s="91"/>
      <c r="C16" s="92"/>
      <c r="D16" s="9">
        <v>0</v>
      </c>
      <c r="E16" s="9">
        <v>0</v>
      </c>
      <c r="F16" s="9">
        <v>0</v>
      </c>
      <c r="G16" s="9">
        <v>192</v>
      </c>
      <c r="H16" s="9">
        <v>0</v>
      </c>
      <c r="I16" s="9">
        <v>0</v>
      </c>
      <c r="J16" s="9">
        <v>0</v>
      </c>
      <c r="K16" s="9"/>
      <c r="L16" s="9"/>
      <c r="M16" s="9"/>
      <c r="N16" s="9"/>
      <c r="O16" s="9"/>
      <c r="P16" s="10">
        <f t="shared" si="0"/>
        <v>192</v>
      </c>
    </row>
    <row r="17" spans="1:16" ht="19.5" customHeight="1">
      <c r="A17" s="105" t="s">
        <v>101</v>
      </c>
      <c r="B17" s="111">
        <v>28</v>
      </c>
      <c r="C17" s="109">
        <v>4</v>
      </c>
      <c r="D17" s="6">
        <v>0</v>
      </c>
      <c r="E17" s="6">
        <v>100</v>
      </c>
      <c r="F17" s="6">
        <v>400</v>
      </c>
      <c r="G17" s="6">
        <v>1600</v>
      </c>
      <c r="H17" s="6">
        <v>700</v>
      </c>
      <c r="I17" s="6">
        <v>350</v>
      </c>
      <c r="J17" s="6">
        <v>100</v>
      </c>
      <c r="K17" s="6"/>
      <c r="L17" s="6"/>
      <c r="M17" s="6"/>
      <c r="N17" s="6"/>
      <c r="O17" s="6"/>
      <c r="P17" s="7">
        <f t="shared" si="0"/>
        <v>3250</v>
      </c>
    </row>
    <row r="18" spans="1:16" ht="19.5" customHeight="1">
      <c r="A18" s="106"/>
      <c r="B18" s="112"/>
      <c r="C18" s="113"/>
      <c r="D18" s="9">
        <v>0</v>
      </c>
      <c r="E18" s="9">
        <v>18</v>
      </c>
      <c r="F18" s="9">
        <v>80</v>
      </c>
      <c r="G18" s="9">
        <v>430</v>
      </c>
      <c r="H18" s="9">
        <v>83</v>
      </c>
      <c r="I18" s="9">
        <v>102</v>
      </c>
      <c r="J18" s="9">
        <v>20</v>
      </c>
      <c r="K18" s="9"/>
      <c r="L18" s="9"/>
      <c r="M18" s="9"/>
      <c r="N18" s="9"/>
      <c r="O18" s="9"/>
      <c r="P18" s="10">
        <f t="shared" si="0"/>
        <v>733</v>
      </c>
    </row>
    <row r="19" spans="1:16" ht="19.5" customHeight="1">
      <c r="A19" s="74" t="s">
        <v>102</v>
      </c>
      <c r="B19" s="90">
        <v>24</v>
      </c>
      <c r="C19" s="80">
        <v>5</v>
      </c>
      <c r="D19" s="6">
        <v>0</v>
      </c>
      <c r="E19" s="6">
        <v>0</v>
      </c>
      <c r="F19" s="6">
        <v>10</v>
      </c>
      <c r="G19" s="6">
        <v>1654</v>
      </c>
      <c r="H19" s="6">
        <v>600</v>
      </c>
      <c r="I19" s="6">
        <v>0</v>
      </c>
      <c r="J19" s="6">
        <v>0</v>
      </c>
      <c r="K19" s="6"/>
      <c r="L19" s="6"/>
      <c r="M19" s="6"/>
      <c r="N19" s="6"/>
      <c r="O19" s="6"/>
      <c r="P19" s="7">
        <f t="shared" si="0"/>
        <v>2264</v>
      </c>
    </row>
    <row r="20" spans="1:16" ht="19.5" customHeight="1">
      <c r="A20" s="75"/>
      <c r="B20" s="91"/>
      <c r="C20" s="92"/>
      <c r="D20" s="9">
        <v>0</v>
      </c>
      <c r="E20" s="9">
        <v>0</v>
      </c>
      <c r="F20" s="9">
        <v>10</v>
      </c>
      <c r="G20" s="9">
        <v>222</v>
      </c>
      <c r="H20" s="9">
        <v>30</v>
      </c>
      <c r="I20" s="9">
        <v>0</v>
      </c>
      <c r="J20" s="9">
        <v>0</v>
      </c>
      <c r="K20" s="9"/>
      <c r="L20" s="9"/>
      <c r="M20" s="9"/>
      <c r="N20" s="9"/>
      <c r="O20" s="9"/>
      <c r="P20" s="10">
        <f t="shared" si="0"/>
        <v>262</v>
      </c>
    </row>
    <row r="21" spans="1:18" ht="19.5" customHeight="1">
      <c r="A21" s="74" t="s">
        <v>88</v>
      </c>
      <c r="B21" s="90">
        <v>33</v>
      </c>
      <c r="C21" s="80">
        <v>1</v>
      </c>
      <c r="D21" s="6">
        <v>0</v>
      </c>
      <c r="E21" s="6">
        <v>80</v>
      </c>
      <c r="F21" s="6">
        <v>82</v>
      </c>
      <c r="G21" s="6">
        <v>9190</v>
      </c>
      <c r="H21" s="6">
        <v>700</v>
      </c>
      <c r="I21" s="6">
        <v>410</v>
      </c>
      <c r="J21" s="6">
        <v>80</v>
      </c>
      <c r="K21" s="6"/>
      <c r="L21" s="6"/>
      <c r="M21" s="48"/>
      <c r="N21" s="6"/>
      <c r="O21" s="6"/>
      <c r="P21" s="7">
        <f t="shared" si="0"/>
        <v>10542</v>
      </c>
      <c r="Q21" s="103"/>
      <c r="R21" s="49"/>
    </row>
    <row r="22" spans="1:18" ht="19.5" customHeight="1">
      <c r="A22" s="75"/>
      <c r="B22" s="91"/>
      <c r="C22" s="92"/>
      <c r="D22" s="9">
        <v>0</v>
      </c>
      <c r="E22" s="9">
        <v>0</v>
      </c>
      <c r="F22" s="9">
        <v>2</v>
      </c>
      <c r="G22" s="9">
        <v>318</v>
      </c>
      <c r="H22" s="9">
        <v>361</v>
      </c>
      <c r="I22" s="9">
        <v>50</v>
      </c>
      <c r="J22" s="9">
        <v>0</v>
      </c>
      <c r="K22" s="9"/>
      <c r="L22" s="9"/>
      <c r="M22" s="9"/>
      <c r="N22" s="9"/>
      <c r="O22" s="9"/>
      <c r="P22" s="10">
        <f t="shared" si="0"/>
        <v>731</v>
      </c>
      <c r="Q22" s="103"/>
      <c r="R22" s="49"/>
    </row>
    <row r="23" spans="1:16" ht="19.5" customHeight="1">
      <c r="A23" s="74" t="s">
        <v>90</v>
      </c>
      <c r="B23" s="90">
        <v>79</v>
      </c>
      <c r="C23" s="80">
        <v>5</v>
      </c>
      <c r="D23" s="6">
        <v>500</v>
      </c>
      <c r="E23" s="6">
        <v>0</v>
      </c>
      <c r="F23" s="6">
        <v>300</v>
      </c>
      <c r="G23" s="6">
        <v>1920</v>
      </c>
      <c r="H23" s="6">
        <v>3500</v>
      </c>
      <c r="I23" s="6">
        <v>570</v>
      </c>
      <c r="J23" s="6">
        <v>200</v>
      </c>
      <c r="K23" s="6"/>
      <c r="L23" s="6"/>
      <c r="M23" s="6"/>
      <c r="N23" s="6"/>
      <c r="O23" s="6"/>
      <c r="P23" s="7">
        <f t="shared" si="0"/>
        <v>6990</v>
      </c>
    </row>
    <row r="24" spans="1:16" ht="19.5" customHeight="1">
      <c r="A24" s="75"/>
      <c r="B24" s="91"/>
      <c r="C24" s="92"/>
      <c r="D24" s="9">
        <v>231</v>
      </c>
      <c r="E24" s="9">
        <v>0</v>
      </c>
      <c r="F24" s="9">
        <v>192</v>
      </c>
      <c r="G24" s="9">
        <v>759</v>
      </c>
      <c r="H24" s="9">
        <v>1240</v>
      </c>
      <c r="I24" s="9">
        <v>391</v>
      </c>
      <c r="J24" s="9">
        <v>200</v>
      </c>
      <c r="K24" s="9"/>
      <c r="L24" s="9"/>
      <c r="M24" s="9"/>
      <c r="N24" s="9"/>
      <c r="O24" s="9"/>
      <c r="P24" s="10">
        <f t="shared" si="0"/>
        <v>3013</v>
      </c>
    </row>
    <row r="25" spans="1:16" ht="19.5" customHeight="1">
      <c r="A25" s="74" t="s">
        <v>120</v>
      </c>
      <c r="B25" s="90">
        <v>21</v>
      </c>
      <c r="C25" s="80">
        <v>2</v>
      </c>
      <c r="D25" s="6">
        <v>0</v>
      </c>
      <c r="E25" s="6">
        <v>0</v>
      </c>
      <c r="F25" s="6">
        <v>0</v>
      </c>
      <c r="G25" s="6">
        <v>1050</v>
      </c>
      <c r="H25" s="6">
        <v>240</v>
      </c>
      <c r="I25" s="6">
        <v>0</v>
      </c>
      <c r="J25" s="6">
        <v>0</v>
      </c>
      <c r="K25" s="6"/>
      <c r="L25" s="6"/>
      <c r="M25" s="48"/>
      <c r="N25" s="6"/>
      <c r="O25" s="6"/>
      <c r="P25" s="7">
        <f t="shared" si="0"/>
        <v>1290</v>
      </c>
    </row>
    <row r="26" spans="1:16" ht="19.5" customHeight="1">
      <c r="A26" s="75"/>
      <c r="B26" s="91"/>
      <c r="C26" s="92"/>
      <c r="D26" s="9">
        <v>0</v>
      </c>
      <c r="E26" s="9">
        <v>0</v>
      </c>
      <c r="F26" s="9">
        <v>0</v>
      </c>
      <c r="G26" s="9">
        <v>324</v>
      </c>
      <c r="H26" s="9">
        <v>210</v>
      </c>
      <c r="I26" s="9">
        <v>0</v>
      </c>
      <c r="J26" s="9">
        <v>0</v>
      </c>
      <c r="K26" s="9"/>
      <c r="L26" s="9"/>
      <c r="M26" s="9"/>
      <c r="N26" s="9"/>
      <c r="O26" s="9"/>
      <c r="P26" s="10">
        <f t="shared" si="0"/>
        <v>534</v>
      </c>
    </row>
    <row r="27" spans="1:16" ht="19.5" customHeight="1">
      <c r="A27" s="74" t="s">
        <v>121</v>
      </c>
      <c r="B27" s="76">
        <f>SUM(B5:B26)</f>
        <v>449</v>
      </c>
      <c r="C27" s="80">
        <f>SUM(C5:C26)</f>
        <v>31</v>
      </c>
      <c r="D27" s="7">
        <f aca="true" t="shared" si="1" ref="D27:J27">SUM(D11+D9+D13+D15+D17+D19+D25+D13+D21+D7+D23+D5)</f>
        <v>850</v>
      </c>
      <c r="E27" s="7">
        <f t="shared" si="1"/>
        <v>680</v>
      </c>
      <c r="F27" s="7">
        <f t="shared" si="1"/>
        <v>1312</v>
      </c>
      <c r="G27" s="7">
        <f t="shared" si="1"/>
        <v>23286</v>
      </c>
      <c r="H27" s="7">
        <f t="shared" si="1"/>
        <v>10760</v>
      </c>
      <c r="I27" s="7">
        <f t="shared" si="1"/>
        <v>5620</v>
      </c>
      <c r="J27" s="7">
        <f t="shared" si="1"/>
        <v>480</v>
      </c>
      <c r="K27" s="7"/>
      <c r="L27" s="7"/>
      <c r="M27" s="7"/>
      <c r="N27" s="7"/>
      <c r="O27" s="7"/>
      <c r="P27" s="7">
        <f>SUM(P11+P9+P13+P15+P17+P19+P25+P21+P7+P23+P5)</f>
        <v>42758</v>
      </c>
    </row>
    <row r="28" spans="1:16" ht="19.5" customHeight="1">
      <c r="A28" s="75"/>
      <c r="B28" s="77"/>
      <c r="C28" s="81"/>
      <c r="D28" s="8">
        <f aca="true" t="shared" si="2" ref="D28:J28">SUM(D12+D10+D6+D14+D16+D18+D20+D26+D22+D8+D24)</f>
        <v>427</v>
      </c>
      <c r="E28" s="8">
        <f t="shared" si="2"/>
        <v>534</v>
      </c>
      <c r="F28" s="8">
        <f t="shared" si="2"/>
        <v>320</v>
      </c>
      <c r="G28" s="8">
        <f t="shared" si="2"/>
        <v>3926</v>
      </c>
      <c r="H28" s="8">
        <f t="shared" si="2"/>
        <v>5274</v>
      </c>
      <c r="I28" s="8">
        <f t="shared" si="2"/>
        <v>2402</v>
      </c>
      <c r="J28" s="8">
        <f t="shared" si="2"/>
        <v>232</v>
      </c>
      <c r="K28" s="8"/>
      <c r="L28" s="8"/>
      <c r="M28" s="8"/>
      <c r="N28" s="8"/>
      <c r="O28" s="8"/>
      <c r="P28" s="8">
        <f>SUM(P12+P10+P6+P14+P16+P18+P20+P26+P22+P8+P24)</f>
        <v>13115</v>
      </c>
    </row>
    <row r="29" spans="1:16" ht="19.5" customHeight="1">
      <c r="A29" s="13"/>
      <c r="B29" s="14"/>
      <c r="C29" s="4"/>
      <c r="D29" s="15"/>
      <c r="E29" s="15"/>
      <c r="F29" s="32"/>
      <c r="G29" s="15"/>
      <c r="H29" s="15"/>
      <c r="I29" s="15"/>
      <c r="J29" s="32"/>
      <c r="K29" s="32"/>
      <c r="L29" s="15"/>
      <c r="M29" s="15"/>
      <c r="N29" s="2"/>
      <c r="O29" s="2"/>
      <c r="P29" s="2"/>
    </row>
    <row r="30" spans="1:16" ht="19.5" customHeight="1">
      <c r="A30" s="13"/>
      <c r="B30" s="14"/>
      <c r="C30" s="4"/>
      <c r="D30" s="15"/>
      <c r="E30" s="15"/>
      <c r="F30" s="32"/>
      <c r="G30" s="15"/>
      <c r="H30" s="15"/>
      <c r="I30" s="15"/>
      <c r="J30" s="32"/>
      <c r="K30" s="32"/>
      <c r="L30" s="15"/>
      <c r="M30" s="15"/>
      <c r="N30" s="2"/>
      <c r="O30" s="2"/>
      <c r="P30" s="2"/>
    </row>
    <row r="31" spans="1:16" ht="19.5" customHeight="1">
      <c r="A31" s="11" t="s">
        <v>122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9.5" customHeight="1">
      <c r="A32" s="83" t="s">
        <v>100</v>
      </c>
      <c r="B32" s="85" t="s">
        <v>106</v>
      </c>
      <c r="C32" s="3" t="s">
        <v>107</v>
      </c>
      <c r="D32" s="104" t="s">
        <v>108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1:16" ht="19.5" customHeight="1">
      <c r="A33" s="84"/>
      <c r="B33" s="86"/>
      <c r="C33" s="5" t="s">
        <v>109</v>
      </c>
      <c r="D33" s="5" t="s">
        <v>123</v>
      </c>
      <c r="E33" s="5" t="s">
        <v>124</v>
      </c>
      <c r="F33" s="5" t="s">
        <v>125</v>
      </c>
      <c r="G33" s="5" t="s">
        <v>126</v>
      </c>
      <c r="H33" s="5" t="s">
        <v>127</v>
      </c>
      <c r="I33" s="5" t="s">
        <v>128</v>
      </c>
      <c r="J33" s="5" t="s">
        <v>129</v>
      </c>
      <c r="K33" s="5" t="s">
        <v>130</v>
      </c>
      <c r="L33" s="16" t="s">
        <v>95</v>
      </c>
      <c r="M33" s="16" t="s">
        <v>131</v>
      </c>
      <c r="N33" s="16" t="s">
        <v>132</v>
      </c>
      <c r="O33" s="17" t="s">
        <v>133</v>
      </c>
      <c r="P33" s="12" t="s">
        <v>115</v>
      </c>
    </row>
    <row r="34" spans="1:16" ht="19.5" customHeight="1">
      <c r="A34" s="74" t="s">
        <v>91</v>
      </c>
      <c r="B34" s="76">
        <v>22</v>
      </c>
      <c r="C34" s="80">
        <v>2</v>
      </c>
      <c r="D34" s="6">
        <v>6</v>
      </c>
      <c r="E34" s="6">
        <v>0</v>
      </c>
      <c r="F34" s="6">
        <v>0</v>
      </c>
      <c r="G34" s="6">
        <v>0</v>
      </c>
      <c r="H34" s="47">
        <v>10</v>
      </c>
      <c r="I34" s="45">
        <v>10</v>
      </c>
      <c r="J34" s="6">
        <v>0</v>
      </c>
      <c r="K34" s="6">
        <v>0</v>
      </c>
      <c r="L34" s="6">
        <v>113</v>
      </c>
      <c r="M34" s="6">
        <v>2</v>
      </c>
      <c r="N34" s="6">
        <v>100</v>
      </c>
      <c r="O34" s="6">
        <v>0</v>
      </c>
      <c r="P34" s="7">
        <f aca="true" t="shared" si="3" ref="P34:P55">SUM(D34:O34)</f>
        <v>241</v>
      </c>
    </row>
    <row r="35" spans="1:16" ht="19.5" customHeight="1">
      <c r="A35" s="75"/>
      <c r="B35" s="77"/>
      <c r="C35" s="81"/>
      <c r="D35" s="9">
        <v>1</v>
      </c>
      <c r="E35" s="9">
        <v>0</v>
      </c>
      <c r="F35" s="9">
        <v>0</v>
      </c>
      <c r="G35" s="9">
        <v>0</v>
      </c>
      <c r="H35" s="9">
        <v>0</v>
      </c>
      <c r="I35" s="46">
        <v>0</v>
      </c>
      <c r="J35" s="9">
        <v>0</v>
      </c>
      <c r="K35" s="9">
        <v>0</v>
      </c>
      <c r="L35" s="9">
        <v>6</v>
      </c>
      <c r="M35" s="9">
        <v>1</v>
      </c>
      <c r="N35" s="9">
        <v>36</v>
      </c>
      <c r="O35" s="9">
        <v>0</v>
      </c>
      <c r="P35" s="8">
        <f t="shared" si="3"/>
        <v>44</v>
      </c>
    </row>
    <row r="36" spans="1:16" ht="19.5" customHeight="1">
      <c r="A36" s="74" t="s">
        <v>89</v>
      </c>
      <c r="B36" s="76">
        <v>0</v>
      </c>
      <c r="C36" s="80">
        <v>0</v>
      </c>
      <c r="D36" s="6">
        <v>0</v>
      </c>
      <c r="E36" s="6">
        <v>0</v>
      </c>
      <c r="F36" s="6">
        <v>0</v>
      </c>
      <c r="G36" s="6">
        <v>0</v>
      </c>
      <c r="H36" s="47">
        <v>0</v>
      </c>
      <c r="I36" s="45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7">
        <f t="shared" si="3"/>
        <v>0</v>
      </c>
    </row>
    <row r="37" spans="1:16" ht="19.5" customHeight="1">
      <c r="A37" s="75"/>
      <c r="B37" s="77"/>
      <c r="C37" s="81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46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8">
        <f t="shared" si="3"/>
        <v>0</v>
      </c>
    </row>
    <row r="38" spans="1:16" ht="19.5" customHeight="1">
      <c r="A38" s="74" t="s">
        <v>116</v>
      </c>
      <c r="B38" s="76">
        <v>62</v>
      </c>
      <c r="C38" s="80">
        <v>3</v>
      </c>
      <c r="D38" s="6">
        <v>16</v>
      </c>
      <c r="E38" s="6">
        <v>0</v>
      </c>
      <c r="F38" s="6">
        <v>0</v>
      </c>
      <c r="G38" s="6">
        <v>0</v>
      </c>
      <c r="H38" s="47">
        <v>45</v>
      </c>
      <c r="I38" s="45">
        <v>0</v>
      </c>
      <c r="J38" s="6">
        <v>0</v>
      </c>
      <c r="K38" s="6">
        <v>0</v>
      </c>
      <c r="L38" s="6">
        <v>420</v>
      </c>
      <c r="M38" s="6">
        <v>0</v>
      </c>
      <c r="N38" s="6">
        <v>0</v>
      </c>
      <c r="O38" s="6">
        <v>0</v>
      </c>
      <c r="P38" s="7">
        <f t="shared" si="3"/>
        <v>481</v>
      </c>
    </row>
    <row r="39" spans="1:16" ht="19.5" customHeight="1">
      <c r="A39" s="75"/>
      <c r="B39" s="77"/>
      <c r="C39" s="81"/>
      <c r="D39" s="9">
        <v>2</v>
      </c>
      <c r="E39" s="9">
        <v>0</v>
      </c>
      <c r="F39" s="9">
        <v>0</v>
      </c>
      <c r="G39" s="9">
        <v>0</v>
      </c>
      <c r="H39" s="9">
        <v>11</v>
      </c>
      <c r="I39" s="46">
        <v>0</v>
      </c>
      <c r="J39" s="9">
        <v>0</v>
      </c>
      <c r="K39" s="9">
        <v>0</v>
      </c>
      <c r="L39" s="9">
        <v>101</v>
      </c>
      <c r="M39" s="9">
        <v>0</v>
      </c>
      <c r="N39" s="9">
        <v>0</v>
      </c>
      <c r="O39" s="9">
        <v>0</v>
      </c>
      <c r="P39" s="8">
        <f t="shared" si="3"/>
        <v>114</v>
      </c>
    </row>
    <row r="40" spans="1:16" ht="19.5" customHeight="1">
      <c r="A40" s="74" t="s">
        <v>134</v>
      </c>
      <c r="B40" s="76">
        <v>61</v>
      </c>
      <c r="C40" s="80">
        <v>2</v>
      </c>
      <c r="D40" s="6">
        <v>15</v>
      </c>
      <c r="E40" s="6">
        <v>0</v>
      </c>
      <c r="F40" s="6">
        <v>45</v>
      </c>
      <c r="G40" s="6">
        <v>108</v>
      </c>
      <c r="H40" s="7">
        <v>15</v>
      </c>
      <c r="I40" s="50">
        <v>0</v>
      </c>
      <c r="J40" s="6">
        <v>60</v>
      </c>
      <c r="K40" s="6">
        <v>0</v>
      </c>
      <c r="L40" s="6">
        <v>1494</v>
      </c>
      <c r="M40" s="6">
        <v>201</v>
      </c>
      <c r="N40" s="6">
        <v>0</v>
      </c>
      <c r="O40" s="55">
        <v>4</v>
      </c>
      <c r="P40" s="7">
        <f t="shared" si="3"/>
        <v>1942</v>
      </c>
    </row>
    <row r="41" spans="1:16" ht="19.5" customHeight="1">
      <c r="A41" s="75"/>
      <c r="B41" s="77"/>
      <c r="C41" s="81"/>
      <c r="D41" s="9">
        <v>5</v>
      </c>
      <c r="E41" s="9">
        <v>0</v>
      </c>
      <c r="F41" s="9">
        <v>4</v>
      </c>
      <c r="G41" s="9">
        <v>13</v>
      </c>
      <c r="H41" s="9">
        <v>2</v>
      </c>
      <c r="I41" s="46">
        <v>0</v>
      </c>
      <c r="J41" s="9">
        <v>20</v>
      </c>
      <c r="K41" s="9">
        <v>0</v>
      </c>
      <c r="L41" s="9">
        <v>608</v>
      </c>
      <c r="M41" s="9">
        <v>16</v>
      </c>
      <c r="N41" s="9">
        <v>0</v>
      </c>
      <c r="O41" s="56">
        <v>4</v>
      </c>
      <c r="P41" s="8">
        <f t="shared" si="3"/>
        <v>672</v>
      </c>
    </row>
    <row r="42" spans="1:16" s="51" customFormat="1" ht="19.5" customHeight="1">
      <c r="A42" s="74" t="s">
        <v>118</v>
      </c>
      <c r="B42" s="76">
        <v>50</v>
      </c>
      <c r="C42" s="80">
        <v>4</v>
      </c>
      <c r="D42" s="6">
        <v>17</v>
      </c>
      <c r="E42" s="6">
        <v>0</v>
      </c>
      <c r="F42" s="6">
        <v>0</v>
      </c>
      <c r="G42" s="6">
        <v>0</v>
      </c>
      <c r="H42" s="7">
        <v>0</v>
      </c>
      <c r="I42" s="50">
        <v>5</v>
      </c>
      <c r="J42" s="6">
        <v>28</v>
      </c>
      <c r="K42" s="6">
        <v>0</v>
      </c>
      <c r="L42" s="6">
        <v>365</v>
      </c>
      <c r="M42" s="6">
        <v>1</v>
      </c>
      <c r="N42" s="6"/>
      <c r="O42" s="6"/>
      <c r="P42" s="7">
        <f t="shared" si="3"/>
        <v>416</v>
      </c>
    </row>
    <row r="43" spans="1:16" s="51" customFormat="1" ht="19.5" customHeight="1">
      <c r="A43" s="75"/>
      <c r="B43" s="77"/>
      <c r="C43" s="81"/>
      <c r="D43" s="9">
        <v>4</v>
      </c>
      <c r="E43" s="9">
        <v>0</v>
      </c>
      <c r="F43" s="9">
        <v>0</v>
      </c>
      <c r="G43" s="9">
        <v>0</v>
      </c>
      <c r="H43" s="9">
        <v>0</v>
      </c>
      <c r="I43" s="46">
        <v>1</v>
      </c>
      <c r="J43" s="9">
        <v>1</v>
      </c>
      <c r="K43" s="9">
        <v>0</v>
      </c>
      <c r="L43" s="9">
        <v>65</v>
      </c>
      <c r="M43" s="9">
        <v>0</v>
      </c>
      <c r="N43" s="9"/>
      <c r="O43" s="9"/>
      <c r="P43" s="8">
        <f t="shared" si="3"/>
        <v>71</v>
      </c>
    </row>
    <row r="44" spans="1:16" ht="19.5" customHeight="1">
      <c r="A44" s="74" t="s">
        <v>135</v>
      </c>
      <c r="B44" s="76">
        <v>140</v>
      </c>
      <c r="C44" s="80">
        <v>4</v>
      </c>
      <c r="D44" s="6">
        <v>16</v>
      </c>
      <c r="E44" s="6">
        <v>0</v>
      </c>
      <c r="F44" s="6">
        <v>30</v>
      </c>
      <c r="G44" s="6">
        <v>0</v>
      </c>
      <c r="H44" s="7">
        <v>130</v>
      </c>
      <c r="I44" s="50">
        <v>130</v>
      </c>
      <c r="J44" s="6">
        <v>36</v>
      </c>
      <c r="K44" s="6">
        <v>0</v>
      </c>
      <c r="L44" s="6">
        <v>1090</v>
      </c>
      <c r="M44" s="6">
        <v>335</v>
      </c>
      <c r="N44" s="6">
        <v>0</v>
      </c>
      <c r="O44" s="6">
        <v>0</v>
      </c>
      <c r="P44" s="7">
        <f t="shared" si="3"/>
        <v>1767</v>
      </c>
    </row>
    <row r="45" spans="1:16" ht="19.5" customHeight="1">
      <c r="A45" s="75"/>
      <c r="B45" s="77"/>
      <c r="C45" s="81"/>
      <c r="D45" s="9">
        <v>2</v>
      </c>
      <c r="E45" s="9">
        <v>0</v>
      </c>
      <c r="F45" s="9">
        <v>2</v>
      </c>
      <c r="G45" s="9">
        <v>0</v>
      </c>
      <c r="H45" s="9">
        <v>27</v>
      </c>
      <c r="I45" s="46">
        <v>27</v>
      </c>
      <c r="J45" s="9">
        <v>27</v>
      </c>
      <c r="K45" s="9">
        <v>0</v>
      </c>
      <c r="L45" s="9">
        <v>428</v>
      </c>
      <c r="M45" s="9">
        <v>75</v>
      </c>
      <c r="N45" s="9">
        <v>0</v>
      </c>
      <c r="O45" s="9">
        <v>0</v>
      </c>
      <c r="P45" s="8">
        <f t="shared" si="3"/>
        <v>588</v>
      </c>
    </row>
    <row r="46" spans="1:16" ht="19.5" customHeight="1">
      <c r="A46" s="105" t="s">
        <v>101</v>
      </c>
      <c r="B46" s="107">
        <v>137</v>
      </c>
      <c r="C46" s="109">
        <v>7</v>
      </c>
      <c r="D46" s="6">
        <v>98</v>
      </c>
      <c r="E46" s="6">
        <v>5</v>
      </c>
      <c r="F46" s="6">
        <v>0</v>
      </c>
      <c r="G46" s="6">
        <v>60</v>
      </c>
      <c r="H46" s="7">
        <v>0</v>
      </c>
      <c r="I46" s="50">
        <v>0</v>
      </c>
      <c r="J46" s="6">
        <v>100</v>
      </c>
      <c r="K46" s="6">
        <v>0</v>
      </c>
      <c r="L46" s="6">
        <v>1600</v>
      </c>
      <c r="M46" s="6"/>
      <c r="N46" s="6"/>
      <c r="O46" s="6"/>
      <c r="P46" s="7">
        <f t="shared" si="3"/>
        <v>1863</v>
      </c>
    </row>
    <row r="47" spans="1:16" ht="19.5" customHeight="1">
      <c r="A47" s="106"/>
      <c r="B47" s="108"/>
      <c r="C47" s="110"/>
      <c r="D47" s="9">
        <v>70</v>
      </c>
      <c r="E47" s="9">
        <v>1</v>
      </c>
      <c r="F47" s="9">
        <v>0</v>
      </c>
      <c r="G47" s="9">
        <v>9</v>
      </c>
      <c r="H47" s="9">
        <v>0</v>
      </c>
      <c r="I47" s="46">
        <v>0</v>
      </c>
      <c r="J47" s="9">
        <v>29</v>
      </c>
      <c r="K47" s="9">
        <v>0</v>
      </c>
      <c r="L47" s="9">
        <v>852</v>
      </c>
      <c r="M47" s="9"/>
      <c r="N47" s="9"/>
      <c r="O47" s="9"/>
      <c r="P47" s="8">
        <f t="shared" si="3"/>
        <v>961</v>
      </c>
    </row>
    <row r="48" spans="1:16" ht="19.5" customHeight="1">
      <c r="A48" s="74" t="s">
        <v>102</v>
      </c>
      <c r="B48" s="76">
        <v>405</v>
      </c>
      <c r="C48" s="80">
        <v>5</v>
      </c>
      <c r="D48" s="6">
        <v>393</v>
      </c>
      <c r="E48" s="6">
        <v>0</v>
      </c>
      <c r="F48" s="6">
        <v>5</v>
      </c>
      <c r="G48" s="6">
        <v>20</v>
      </c>
      <c r="H48" s="78">
        <v>287</v>
      </c>
      <c r="I48" s="82"/>
      <c r="J48" s="6">
        <v>282</v>
      </c>
      <c r="K48" s="6">
        <v>0</v>
      </c>
      <c r="L48" s="6">
        <v>1299</v>
      </c>
      <c r="M48" s="6">
        <v>170</v>
      </c>
      <c r="N48" s="6">
        <v>0</v>
      </c>
      <c r="O48" s="6">
        <v>0</v>
      </c>
      <c r="P48" s="7">
        <f t="shared" si="3"/>
        <v>2456</v>
      </c>
    </row>
    <row r="49" spans="1:16" ht="19.5" customHeight="1">
      <c r="A49" s="75"/>
      <c r="B49" s="77"/>
      <c r="C49" s="81"/>
      <c r="D49" s="9">
        <v>230</v>
      </c>
      <c r="E49" s="9">
        <v>0</v>
      </c>
      <c r="F49" s="9">
        <v>0</v>
      </c>
      <c r="G49" s="9">
        <v>3</v>
      </c>
      <c r="H49" s="9">
        <v>31</v>
      </c>
      <c r="I49" s="46">
        <v>44</v>
      </c>
      <c r="J49" s="9">
        <v>47</v>
      </c>
      <c r="K49" s="9">
        <v>0</v>
      </c>
      <c r="L49" s="9">
        <v>95</v>
      </c>
      <c r="M49" s="9">
        <v>9</v>
      </c>
      <c r="N49" s="9">
        <v>0</v>
      </c>
      <c r="O49" s="9">
        <v>0</v>
      </c>
      <c r="P49" s="8">
        <f t="shared" si="3"/>
        <v>459</v>
      </c>
    </row>
    <row r="50" spans="1:16" ht="19.5" customHeight="1">
      <c r="A50" s="74" t="s">
        <v>88</v>
      </c>
      <c r="B50" s="76">
        <v>20</v>
      </c>
      <c r="C50" s="80">
        <v>1</v>
      </c>
      <c r="D50" s="6">
        <v>0</v>
      </c>
      <c r="E50" s="6">
        <v>0</v>
      </c>
      <c r="F50" s="6">
        <v>10</v>
      </c>
      <c r="G50" s="6">
        <v>0</v>
      </c>
      <c r="H50" s="47">
        <v>0</v>
      </c>
      <c r="I50" s="45">
        <v>0</v>
      </c>
      <c r="J50" s="6">
        <v>0</v>
      </c>
      <c r="K50" s="6">
        <v>0</v>
      </c>
      <c r="L50" s="6">
        <v>190</v>
      </c>
      <c r="M50" s="6">
        <v>0</v>
      </c>
      <c r="N50" s="6">
        <v>0</v>
      </c>
      <c r="O50" s="6">
        <v>0</v>
      </c>
      <c r="P50" s="7">
        <f t="shared" si="3"/>
        <v>200</v>
      </c>
    </row>
    <row r="51" spans="1:16" ht="19.5" customHeight="1">
      <c r="A51" s="75"/>
      <c r="B51" s="77"/>
      <c r="C51" s="81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46">
        <v>0</v>
      </c>
      <c r="J51" s="9">
        <v>0</v>
      </c>
      <c r="K51" s="9">
        <v>0</v>
      </c>
      <c r="L51" s="9">
        <v>22</v>
      </c>
      <c r="M51" s="9">
        <v>0</v>
      </c>
      <c r="N51" s="9">
        <v>0</v>
      </c>
      <c r="O51" s="9">
        <v>0</v>
      </c>
      <c r="P51" s="8">
        <f t="shared" si="3"/>
        <v>22</v>
      </c>
    </row>
    <row r="52" spans="1:16" ht="19.5" customHeight="1">
      <c r="A52" s="74" t="s">
        <v>90</v>
      </c>
      <c r="B52" s="76">
        <v>0</v>
      </c>
      <c r="C52" s="80">
        <v>0</v>
      </c>
      <c r="D52" s="6">
        <v>0</v>
      </c>
      <c r="E52" s="6">
        <v>0</v>
      </c>
      <c r="F52" s="6">
        <v>0</v>
      </c>
      <c r="G52" s="6">
        <v>0</v>
      </c>
      <c r="H52" s="47">
        <v>0</v>
      </c>
      <c r="I52" s="45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7">
        <f t="shared" si="3"/>
        <v>0</v>
      </c>
    </row>
    <row r="53" spans="1:16" ht="19.5" customHeight="1">
      <c r="A53" s="75"/>
      <c r="B53" s="77"/>
      <c r="C53" s="81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8">
        <f t="shared" si="3"/>
        <v>0</v>
      </c>
    </row>
    <row r="54" spans="1:16" ht="19.5" customHeight="1">
      <c r="A54" s="74" t="s">
        <v>120</v>
      </c>
      <c r="B54" s="76">
        <v>163</v>
      </c>
      <c r="C54" s="80">
        <v>2</v>
      </c>
      <c r="D54" s="6">
        <v>30</v>
      </c>
      <c r="E54" s="6">
        <v>0</v>
      </c>
      <c r="F54" s="6">
        <v>22</v>
      </c>
      <c r="G54" s="6">
        <v>0</v>
      </c>
      <c r="H54" s="78">
        <v>340</v>
      </c>
      <c r="I54" s="79"/>
      <c r="J54" s="6">
        <v>101</v>
      </c>
      <c r="K54" s="6">
        <v>15</v>
      </c>
      <c r="L54" s="6">
        <v>1185</v>
      </c>
      <c r="M54" s="6">
        <v>22</v>
      </c>
      <c r="N54" s="6">
        <v>100</v>
      </c>
      <c r="O54" s="6">
        <v>0</v>
      </c>
      <c r="P54" s="7">
        <f t="shared" si="3"/>
        <v>1815</v>
      </c>
    </row>
    <row r="55" spans="1:16" ht="19.5" customHeight="1">
      <c r="A55" s="75"/>
      <c r="B55" s="77"/>
      <c r="C55" s="81"/>
      <c r="D55" s="9">
        <v>19</v>
      </c>
      <c r="E55" s="9">
        <v>0</v>
      </c>
      <c r="F55" s="9">
        <v>6</v>
      </c>
      <c r="G55" s="9">
        <v>0</v>
      </c>
      <c r="H55" s="9">
        <v>52</v>
      </c>
      <c r="I55" s="46">
        <v>76</v>
      </c>
      <c r="J55" s="9">
        <v>64</v>
      </c>
      <c r="K55" s="9">
        <v>2</v>
      </c>
      <c r="L55" s="9">
        <v>830</v>
      </c>
      <c r="M55" s="9">
        <v>8</v>
      </c>
      <c r="N55" s="9">
        <v>59</v>
      </c>
      <c r="O55" s="9">
        <v>0</v>
      </c>
      <c r="P55" s="8">
        <f t="shared" si="3"/>
        <v>1116</v>
      </c>
    </row>
    <row r="56" spans="1:16" ht="19.5" customHeight="1">
      <c r="A56" s="74" t="s">
        <v>136</v>
      </c>
      <c r="B56" s="76">
        <f>SUM(B34:B55)</f>
        <v>1060</v>
      </c>
      <c r="C56" s="80">
        <f>SUM(C34:C55)</f>
        <v>30</v>
      </c>
      <c r="D56" s="7">
        <f aca="true" t="shared" si="4" ref="D56:P56">D40+D38+D34+D42+D44+D46+D48+D54+D50+D36+D52</f>
        <v>591</v>
      </c>
      <c r="E56" s="7">
        <f t="shared" si="4"/>
        <v>5</v>
      </c>
      <c r="F56" s="7">
        <f t="shared" si="4"/>
        <v>112</v>
      </c>
      <c r="G56" s="7">
        <f t="shared" si="4"/>
        <v>188</v>
      </c>
      <c r="H56" s="7">
        <f t="shared" si="4"/>
        <v>827</v>
      </c>
      <c r="I56" s="7">
        <f t="shared" si="4"/>
        <v>145</v>
      </c>
      <c r="J56" s="7">
        <f t="shared" si="4"/>
        <v>607</v>
      </c>
      <c r="K56" s="7">
        <f t="shared" si="4"/>
        <v>15</v>
      </c>
      <c r="L56" s="7">
        <f t="shared" si="4"/>
        <v>7756</v>
      </c>
      <c r="M56" s="7">
        <f t="shared" si="4"/>
        <v>731</v>
      </c>
      <c r="N56" s="7">
        <f t="shared" si="4"/>
        <v>200</v>
      </c>
      <c r="O56" s="7">
        <f t="shared" si="4"/>
        <v>4</v>
      </c>
      <c r="P56" s="7">
        <f t="shared" si="4"/>
        <v>11181</v>
      </c>
    </row>
    <row r="57" spans="1:16" ht="19.5" customHeight="1">
      <c r="A57" s="75"/>
      <c r="B57" s="77"/>
      <c r="C57" s="81"/>
      <c r="D57" s="8">
        <f aca="true" t="shared" si="5" ref="D57:P57">D41+D39+D35+D43+D45+D47+D49+D55+D51+D37+D53</f>
        <v>333</v>
      </c>
      <c r="E57" s="8">
        <f t="shared" si="5"/>
        <v>1</v>
      </c>
      <c r="F57" s="8">
        <f t="shared" si="5"/>
        <v>12</v>
      </c>
      <c r="G57" s="8">
        <f t="shared" si="5"/>
        <v>25</v>
      </c>
      <c r="H57" s="8">
        <f t="shared" si="5"/>
        <v>123</v>
      </c>
      <c r="I57" s="8">
        <f t="shared" si="5"/>
        <v>148</v>
      </c>
      <c r="J57" s="8">
        <f t="shared" si="5"/>
        <v>188</v>
      </c>
      <c r="K57" s="8">
        <f t="shared" si="5"/>
        <v>2</v>
      </c>
      <c r="L57" s="8">
        <f t="shared" si="5"/>
        <v>3007</v>
      </c>
      <c r="M57" s="8">
        <f t="shared" si="5"/>
        <v>109</v>
      </c>
      <c r="N57" s="8">
        <f t="shared" si="5"/>
        <v>95</v>
      </c>
      <c r="O57" s="8">
        <f t="shared" si="5"/>
        <v>4</v>
      </c>
      <c r="P57" s="8">
        <f t="shared" si="5"/>
        <v>4047</v>
      </c>
    </row>
    <row r="59" ht="13.5">
      <c r="P59" s="53"/>
    </row>
    <row r="60" ht="13.5">
      <c r="P60" s="53"/>
    </row>
  </sheetData>
  <sheetProtection/>
  <mergeCells count="81">
    <mergeCell ref="H54:I54"/>
    <mergeCell ref="Q21:Q22"/>
    <mergeCell ref="H48:I48"/>
    <mergeCell ref="A3:A4"/>
    <mergeCell ref="B3:B4"/>
    <mergeCell ref="D3:P3"/>
    <mergeCell ref="A11:A12"/>
    <mergeCell ref="B11:B12"/>
    <mergeCell ref="C11:C12"/>
    <mergeCell ref="A9:A10"/>
    <mergeCell ref="B9:B10"/>
    <mergeCell ref="C9:C10"/>
    <mergeCell ref="A5:A6"/>
    <mergeCell ref="B5:B6"/>
    <mergeCell ref="C5:C6"/>
    <mergeCell ref="A7:A8"/>
    <mergeCell ref="B7:B8"/>
    <mergeCell ref="C7:C8"/>
    <mergeCell ref="A13:A14"/>
    <mergeCell ref="B13:B14"/>
    <mergeCell ref="C13:C14"/>
    <mergeCell ref="B15:B16"/>
    <mergeCell ref="C15:C16"/>
    <mergeCell ref="A15:A16"/>
    <mergeCell ref="C25:C26"/>
    <mergeCell ref="A17:A18"/>
    <mergeCell ref="B17:B18"/>
    <mergeCell ref="C17:C18"/>
    <mergeCell ref="A21:A22"/>
    <mergeCell ref="B21:B22"/>
    <mergeCell ref="C21:C22"/>
    <mergeCell ref="A19:A20"/>
    <mergeCell ref="B19:B20"/>
    <mergeCell ref="C19:C20"/>
    <mergeCell ref="B34:B35"/>
    <mergeCell ref="C34:C35"/>
    <mergeCell ref="A23:A24"/>
    <mergeCell ref="B23:B24"/>
    <mergeCell ref="C23:C24"/>
    <mergeCell ref="A27:A28"/>
    <mergeCell ref="B27:B28"/>
    <mergeCell ref="C27:C28"/>
    <mergeCell ref="A25:A26"/>
    <mergeCell ref="B25:B26"/>
    <mergeCell ref="A32:A33"/>
    <mergeCell ref="B32:B33"/>
    <mergeCell ref="D32:P32"/>
    <mergeCell ref="A40:A41"/>
    <mergeCell ref="B40:B41"/>
    <mergeCell ref="C40:C41"/>
    <mergeCell ref="A38:A39"/>
    <mergeCell ref="B38:B39"/>
    <mergeCell ref="C38:C39"/>
    <mergeCell ref="A34:A35"/>
    <mergeCell ref="A44:A45"/>
    <mergeCell ref="B44:B45"/>
    <mergeCell ref="C44:C45"/>
    <mergeCell ref="A36:A37"/>
    <mergeCell ref="B36:B37"/>
    <mergeCell ref="C36:C37"/>
    <mergeCell ref="A42:A43"/>
    <mergeCell ref="B42:B43"/>
    <mergeCell ref="C42:C43"/>
    <mergeCell ref="A46:A47"/>
    <mergeCell ref="B46:B47"/>
    <mergeCell ref="C46:C47"/>
    <mergeCell ref="A48:A49"/>
    <mergeCell ref="B48:B49"/>
    <mergeCell ref="C48:C49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B52:B53"/>
    <mergeCell ref="C52:C53"/>
    <mergeCell ref="A52:A53"/>
  </mergeCells>
  <printOptions/>
  <pageMargins left="0.75" right="0.75" top="1" bottom="1" header="0.512" footer="0.512"/>
  <pageSetup horizontalDpi="600" verticalDpi="600" orientation="portrait" paperSize="9" scale="59" r:id="rId1"/>
  <headerFooter alignWithMargins="0">
    <oddFooter>&amp;C&amp;14-22-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P57"/>
  <sheetViews>
    <sheetView zoomScale="70" zoomScaleNormal="70" zoomScalePageLayoutView="0" workbookViewId="0" topLeftCell="A22">
      <selection activeCell="A1" sqref="A1"/>
    </sheetView>
  </sheetViews>
  <sheetFormatPr defaultColWidth="9.00390625" defaultRowHeight="13.5"/>
  <cols>
    <col min="15" max="15" width="12.875" style="0" customWidth="1"/>
  </cols>
  <sheetData>
    <row r="1" spans="1:14" ht="19.5" customHeight="1">
      <c r="A1" s="1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9.5" customHeight="1">
      <c r="A3" s="83" t="s">
        <v>100</v>
      </c>
      <c r="B3" s="85" t="s">
        <v>106</v>
      </c>
      <c r="C3" s="3" t="s">
        <v>107</v>
      </c>
      <c r="D3" s="104" t="s">
        <v>108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9.5" customHeight="1">
      <c r="A4" s="84"/>
      <c r="B4" s="86"/>
      <c r="C4" s="5" t="s">
        <v>109</v>
      </c>
      <c r="D4" s="5" t="s">
        <v>110</v>
      </c>
      <c r="E4" s="5" t="s">
        <v>138</v>
      </c>
      <c r="F4" s="5" t="s">
        <v>139</v>
      </c>
      <c r="G4" s="5" t="s">
        <v>39</v>
      </c>
      <c r="H4" s="5" t="s">
        <v>40</v>
      </c>
      <c r="I4" s="5" t="s">
        <v>140</v>
      </c>
      <c r="J4" s="16" t="s">
        <v>141</v>
      </c>
      <c r="K4" s="17"/>
      <c r="L4" s="17"/>
      <c r="M4" s="5"/>
      <c r="N4" s="12" t="s">
        <v>115</v>
      </c>
    </row>
    <row r="5" spans="1:15" ht="19.5" customHeight="1">
      <c r="A5" s="74" t="s">
        <v>91</v>
      </c>
      <c r="B5" s="90">
        <v>144</v>
      </c>
      <c r="C5" s="80">
        <v>2</v>
      </c>
      <c r="D5" s="6">
        <v>0</v>
      </c>
      <c r="E5" s="6">
        <v>0</v>
      </c>
      <c r="F5" s="6">
        <v>0</v>
      </c>
      <c r="G5" s="6">
        <v>984</v>
      </c>
      <c r="H5" s="6">
        <v>2000</v>
      </c>
      <c r="I5" s="6">
        <v>1780</v>
      </c>
      <c r="J5" s="6">
        <v>0</v>
      </c>
      <c r="K5" s="6"/>
      <c r="L5" s="6"/>
      <c r="M5" s="6"/>
      <c r="N5" s="7">
        <f aca="true" t="shared" si="0" ref="N5:N22">SUM(D5:M5)</f>
        <v>4764</v>
      </c>
      <c r="O5" s="49" t="s">
        <v>103</v>
      </c>
    </row>
    <row r="6" spans="1:15" ht="19.5" customHeight="1">
      <c r="A6" s="75"/>
      <c r="B6" s="91"/>
      <c r="C6" s="92"/>
      <c r="D6" s="9">
        <v>0</v>
      </c>
      <c r="E6" s="9">
        <v>0</v>
      </c>
      <c r="F6" s="9">
        <v>0</v>
      </c>
      <c r="G6" s="9">
        <v>54</v>
      </c>
      <c r="H6" s="9">
        <v>50</v>
      </c>
      <c r="I6" s="9">
        <v>1185</v>
      </c>
      <c r="J6" s="9">
        <v>0</v>
      </c>
      <c r="K6" s="9"/>
      <c r="L6" s="9"/>
      <c r="M6" s="9"/>
      <c r="N6" s="10">
        <f t="shared" si="0"/>
        <v>1289</v>
      </c>
      <c r="O6" s="49" t="s">
        <v>142</v>
      </c>
    </row>
    <row r="7" spans="1:14" ht="19.5" customHeight="1">
      <c r="A7" s="74" t="s">
        <v>89</v>
      </c>
      <c r="B7" s="90">
        <v>119</v>
      </c>
      <c r="C7" s="80">
        <v>2</v>
      </c>
      <c r="D7" s="6">
        <v>560</v>
      </c>
      <c r="E7" s="6">
        <v>2000</v>
      </c>
      <c r="F7" s="6">
        <v>0</v>
      </c>
      <c r="G7" s="6">
        <v>1599</v>
      </c>
      <c r="H7" s="6">
        <v>560</v>
      </c>
      <c r="I7" s="6">
        <v>1698</v>
      </c>
      <c r="J7" s="6">
        <v>0</v>
      </c>
      <c r="K7" s="6"/>
      <c r="L7" s="6"/>
      <c r="M7" s="6"/>
      <c r="N7" s="7">
        <f t="shared" si="0"/>
        <v>6417</v>
      </c>
    </row>
    <row r="8" spans="1:14" ht="19.5" customHeight="1">
      <c r="A8" s="75"/>
      <c r="B8" s="91"/>
      <c r="C8" s="92"/>
      <c r="D8" s="9">
        <v>217</v>
      </c>
      <c r="E8" s="9">
        <v>290</v>
      </c>
      <c r="F8" s="9">
        <v>0</v>
      </c>
      <c r="G8" s="9">
        <v>313</v>
      </c>
      <c r="H8" s="9">
        <v>326</v>
      </c>
      <c r="I8" s="9">
        <v>288</v>
      </c>
      <c r="J8" s="9">
        <v>0</v>
      </c>
      <c r="K8" s="9"/>
      <c r="L8" s="9"/>
      <c r="M8" s="9"/>
      <c r="N8" s="10">
        <f t="shared" si="0"/>
        <v>1434</v>
      </c>
    </row>
    <row r="9" spans="1:14" ht="19.5" customHeight="1">
      <c r="A9" s="74" t="s">
        <v>116</v>
      </c>
      <c r="B9" s="90">
        <v>7</v>
      </c>
      <c r="C9" s="80">
        <v>3</v>
      </c>
      <c r="D9" s="6">
        <v>0</v>
      </c>
      <c r="E9" s="6">
        <v>100</v>
      </c>
      <c r="F9" s="6">
        <v>240</v>
      </c>
      <c r="G9" s="6">
        <v>1238</v>
      </c>
      <c r="H9" s="6">
        <v>420</v>
      </c>
      <c r="I9" s="6">
        <v>100</v>
      </c>
      <c r="J9" s="6">
        <v>100</v>
      </c>
      <c r="K9" s="6"/>
      <c r="L9" s="6"/>
      <c r="M9" s="6"/>
      <c r="N9" s="7">
        <f t="shared" si="0"/>
        <v>2198</v>
      </c>
    </row>
    <row r="10" spans="1:14" ht="19.5" customHeight="1">
      <c r="A10" s="75"/>
      <c r="B10" s="91"/>
      <c r="C10" s="92"/>
      <c r="D10" s="9">
        <v>0</v>
      </c>
      <c r="E10" s="9">
        <v>0</v>
      </c>
      <c r="F10" s="9">
        <v>14</v>
      </c>
      <c r="G10" s="9">
        <v>266</v>
      </c>
      <c r="H10" s="9">
        <v>0</v>
      </c>
      <c r="I10" s="9">
        <v>0</v>
      </c>
      <c r="J10" s="9">
        <v>0</v>
      </c>
      <c r="K10" s="9"/>
      <c r="L10" s="9"/>
      <c r="M10" s="9"/>
      <c r="N10" s="10">
        <f t="shared" si="0"/>
        <v>280</v>
      </c>
    </row>
    <row r="11" spans="1:14" ht="19.5" customHeight="1">
      <c r="A11" s="74" t="s">
        <v>117</v>
      </c>
      <c r="B11" s="90">
        <v>62</v>
      </c>
      <c r="C11" s="80">
        <v>3</v>
      </c>
      <c r="D11" s="6">
        <v>100</v>
      </c>
      <c r="E11" s="6">
        <v>0</v>
      </c>
      <c r="F11" s="6">
        <v>0</v>
      </c>
      <c r="G11" s="6">
        <v>3968</v>
      </c>
      <c r="H11" s="6">
        <v>1350</v>
      </c>
      <c r="I11" s="6">
        <v>880</v>
      </c>
      <c r="J11" s="6">
        <v>0</v>
      </c>
      <c r="K11" s="6"/>
      <c r="L11" s="6"/>
      <c r="M11" s="6"/>
      <c r="N11" s="7">
        <f t="shared" si="0"/>
        <v>6298</v>
      </c>
    </row>
    <row r="12" spans="1:14" ht="19.5" customHeight="1">
      <c r="A12" s="75"/>
      <c r="B12" s="91"/>
      <c r="C12" s="92"/>
      <c r="D12" s="9">
        <v>36</v>
      </c>
      <c r="E12" s="9">
        <v>0</v>
      </c>
      <c r="F12" s="9">
        <v>0</v>
      </c>
      <c r="G12" s="9">
        <v>798</v>
      </c>
      <c r="H12" s="9">
        <v>838</v>
      </c>
      <c r="I12" s="9">
        <v>214</v>
      </c>
      <c r="J12" s="9">
        <v>0</v>
      </c>
      <c r="K12" s="9"/>
      <c r="L12" s="9"/>
      <c r="M12" s="9"/>
      <c r="N12" s="10">
        <f t="shared" si="0"/>
        <v>1886</v>
      </c>
    </row>
    <row r="13" spans="1:14" ht="19.5" customHeight="1">
      <c r="A13" s="74" t="s">
        <v>118</v>
      </c>
      <c r="B13" s="90">
        <v>4</v>
      </c>
      <c r="C13" s="80">
        <v>2</v>
      </c>
      <c r="D13" s="6">
        <v>0</v>
      </c>
      <c r="E13" s="6">
        <v>0</v>
      </c>
      <c r="F13" s="6">
        <v>0</v>
      </c>
      <c r="G13" s="6">
        <v>180</v>
      </c>
      <c r="H13" s="6">
        <v>0</v>
      </c>
      <c r="I13" s="6">
        <v>4</v>
      </c>
      <c r="J13" s="6">
        <v>0</v>
      </c>
      <c r="K13" s="6"/>
      <c r="L13" s="6"/>
      <c r="M13" s="6"/>
      <c r="N13" s="7">
        <f t="shared" si="0"/>
        <v>184</v>
      </c>
    </row>
    <row r="14" spans="1:14" ht="19.5" customHeight="1">
      <c r="A14" s="75"/>
      <c r="B14" s="91"/>
      <c r="C14" s="92"/>
      <c r="D14" s="9">
        <v>0</v>
      </c>
      <c r="E14" s="9">
        <v>0</v>
      </c>
      <c r="F14" s="9">
        <v>0</v>
      </c>
      <c r="G14" s="9">
        <v>44</v>
      </c>
      <c r="H14" s="9">
        <v>0</v>
      </c>
      <c r="I14" s="9">
        <v>0</v>
      </c>
      <c r="J14" s="9">
        <v>0</v>
      </c>
      <c r="K14" s="9"/>
      <c r="L14" s="9"/>
      <c r="M14" s="9"/>
      <c r="N14" s="10">
        <f t="shared" si="0"/>
        <v>44</v>
      </c>
    </row>
    <row r="15" spans="1:14" ht="19.5" customHeight="1">
      <c r="A15" s="74" t="s">
        <v>119</v>
      </c>
      <c r="B15" s="90">
        <v>9</v>
      </c>
      <c r="C15" s="80">
        <v>3</v>
      </c>
      <c r="D15" s="6">
        <v>0</v>
      </c>
      <c r="E15" s="6">
        <v>0</v>
      </c>
      <c r="F15" s="6">
        <v>0</v>
      </c>
      <c r="G15" s="6">
        <v>460</v>
      </c>
      <c r="H15" s="6">
        <v>0</v>
      </c>
      <c r="I15" s="6">
        <v>0</v>
      </c>
      <c r="J15" s="6">
        <v>0</v>
      </c>
      <c r="K15" s="6"/>
      <c r="L15" s="6"/>
      <c r="M15" s="6"/>
      <c r="N15" s="7">
        <f t="shared" si="0"/>
        <v>460</v>
      </c>
    </row>
    <row r="16" spans="1:14" ht="19.5" customHeight="1">
      <c r="A16" s="75"/>
      <c r="B16" s="91"/>
      <c r="C16" s="92"/>
      <c r="D16" s="9">
        <v>0</v>
      </c>
      <c r="E16" s="9">
        <v>0</v>
      </c>
      <c r="F16" s="9">
        <v>0</v>
      </c>
      <c r="G16" s="9">
        <v>136</v>
      </c>
      <c r="H16" s="9">
        <v>0</v>
      </c>
      <c r="I16" s="9">
        <v>0</v>
      </c>
      <c r="J16" s="9">
        <v>0</v>
      </c>
      <c r="K16" s="9"/>
      <c r="L16" s="9"/>
      <c r="M16" s="9"/>
      <c r="N16" s="10">
        <f t="shared" si="0"/>
        <v>136</v>
      </c>
    </row>
    <row r="17" spans="1:14" ht="19.5" customHeight="1">
      <c r="A17" s="74" t="s">
        <v>101</v>
      </c>
      <c r="B17" s="90">
        <v>28</v>
      </c>
      <c r="C17" s="80">
        <v>4</v>
      </c>
      <c r="D17" s="6">
        <v>0</v>
      </c>
      <c r="E17" s="6">
        <v>100</v>
      </c>
      <c r="F17" s="6">
        <v>490</v>
      </c>
      <c r="G17" s="6">
        <v>1580</v>
      </c>
      <c r="H17" s="6">
        <v>1650</v>
      </c>
      <c r="I17" s="6">
        <v>350</v>
      </c>
      <c r="J17" s="6">
        <v>100</v>
      </c>
      <c r="K17" s="6"/>
      <c r="L17" s="6"/>
      <c r="M17" s="6"/>
      <c r="N17" s="7">
        <f t="shared" si="0"/>
        <v>4270</v>
      </c>
    </row>
    <row r="18" spans="1:14" ht="19.5" customHeight="1">
      <c r="A18" s="75"/>
      <c r="B18" s="91"/>
      <c r="C18" s="92"/>
      <c r="D18" s="9">
        <v>0</v>
      </c>
      <c r="E18" s="9">
        <v>14</v>
      </c>
      <c r="F18" s="9">
        <v>100</v>
      </c>
      <c r="G18" s="9">
        <v>184</v>
      </c>
      <c r="H18" s="9">
        <v>81</v>
      </c>
      <c r="I18" s="9">
        <v>11</v>
      </c>
      <c r="J18" s="9">
        <v>35</v>
      </c>
      <c r="K18" s="9"/>
      <c r="L18" s="9"/>
      <c r="M18" s="9"/>
      <c r="N18" s="10">
        <f t="shared" si="0"/>
        <v>425</v>
      </c>
    </row>
    <row r="19" spans="1:14" ht="19.5" customHeight="1">
      <c r="A19" s="74" t="s">
        <v>102</v>
      </c>
      <c r="B19" s="90">
        <v>22</v>
      </c>
      <c r="C19" s="80">
        <v>5</v>
      </c>
      <c r="D19" s="6">
        <v>0</v>
      </c>
      <c r="E19" s="6">
        <v>0</v>
      </c>
      <c r="F19" s="6">
        <v>0</v>
      </c>
      <c r="G19" s="6">
        <v>2615</v>
      </c>
      <c r="H19" s="6">
        <v>600</v>
      </c>
      <c r="I19" s="6">
        <v>0</v>
      </c>
      <c r="J19" s="6">
        <v>0</v>
      </c>
      <c r="K19" s="6"/>
      <c r="L19" s="6"/>
      <c r="M19" s="6"/>
      <c r="N19" s="7">
        <f t="shared" si="0"/>
        <v>3215</v>
      </c>
    </row>
    <row r="20" spans="1:14" ht="19.5" customHeight="1">
      <c r="A20" s="75"/>
      <c r="B20" s="91"/>
      <c r="C20" s="92"/>
      <c r="D20" s="9">
        <v>0</v>
      </c>
      <c r="E20" s="9">
        <v>0</v>
      </c>
      <c r="F20" s="9">
        <v>0</v>
      </c>
      <c r="G20" s="9">
        <v>231</v>
      </c>
      <c r="H20" s="9">
        <v>28</v>
      </c>
      <c r="I20" s="9">
        <v>0</v>
      </c>
      <c r="J20" s="9">
        <v>0</v>
      </c>
      <c r="K20" s="9"/>
      <c r="L20" s="9"/>
      <c r="M20" s="9"/>
      <c r="N20" s="10">
        <f t="shared" si="0"/>
        <v>259</v>
      </c>
    </row>
    <row r="21" spans="1:16" ht="19.5" customHeight="1">
      <c r="A21" s="74" t="s">
        <v>88</v>
      </c>
      <c r="B21" s="90">
        <v>33</v>
      </c>
      <c r="C21" s="80">
        <v>1</v>
      </c>
      <c r="D21" s="6">
        <v>0</v>
      </c>
      <c r="E21" s="6">
        <v>0</v>
      </c>
      <c r="F21" s="6">
        <v>200</v>
      </c>
      <c r="G21" s="6">
        <v>8720</v>
      </c>
      <c r="H21" s="6">
        <v>600</v>
      </c>
      <c r="I21" s="6">
        <v>260</v>
      </c>
      <c r="J21" s="6">
        <v>200</v>
      </c>
      <c r="K21" s="6"/>
      <c r="L21" s="48"/>
      <c r="M21" s="6"/>
      <c r="N21" s="7">
        <f t="shared" si="0"/>
        <v>9980</v>
      </c>
      <c r="O21" s="103" t="s">
        <v>143</v>
      </c>
      <c r="P21" s="49"/>
    </row>
    <row r="22" spans="1:16" ht="19.5" customHeight="1">
      <c r="A22" s="75"/>
      <c r="B22" s="91"/>
      <c r="C22" s="92"/>
      <c r="D22" s="9">
        <v>0</v>
      </c>
      <c r="E22" s="9">
        <v>0</v>
      </c>
      <c r="F22" s="9">
        <v>20</v>
      </c>
      <c r="G22" s="9">
        <v>288</v>
      </c>
      <c r="H22" s="9">
        <v>50</v>
      </c>
      <c r="I22" s="9">
        <v>72</v>
      </c>
      <c r="J22" s="9">
        <v>20</v>
      </c>
      <c r="K22" s="9"/>
      <c r="L22" s="9"/>
      <c r="M22" s="9"/>
      <c r="N22" s="10">
        <f t="shared" si="0"/>
        <v>450</v>
      </c>
      <c r="O22" s="103"/>
      <c r="P22" s="49"/>
    </row>
    <row r="23" spans="1:14" ht="19.5" customHeight="1">
      <c r="A23" s="74" t="s">
        <v>90</v>
      </c>
      <c r="B23" s="90">
        <v>258</v>
      </c>
      <c r="C23" s="80">
        <v>4</v>
      </c>
      <c r="D23" s="6">
        <v>550</v>
      </c>
      <c r="E23" s="6">
        <v>0</v>
      </c>
      <c r="F23" s="6">
        <v>300</v>
      </c>
      <c r="G23" s="6">
        <v>1460</v>
      </c>
      <c r="H23" s="6">
        <v>3250</v>
      </c>
      <c r="I23" s="6">
        <v>650</v>
      </c>
      <c r="J23" s="6">
        <v>250</v>
      </c>
      <c r="K23" s="6"/>
      <c r="L23" s="6"/>
      <c r="M23" s="6"/>
      <c r="N23" s="7">
        <f>SUM(D23:M23)</f>
        <v>6460</v>
      </c>
    </row>
    <row r="24" spans="1:14" ht="19.5" customHeight="1">
      <c r="A24" s="75"/>
      <c r="B24" s="91"/>
      <c r="C24" s="92"/>
      <c r="D24" s="9">
        <v>300</v>
      </c>
      <c r="E24" s="9">
        <v>0</v>
      </c>
      <c r="F24" s="9">
        <v>158</v>
      </c>
      <c r="G24" s="9">
        <v>536</v>
      </c>
      <c r="H24" s="9">
        <v>1358</v>
      </c>
      <c r="I24" s="9">
        <v>401</v>
      </c>
      <c r="J24" s="9">
        <v>250</v>
      </c>
      <c r="K24" s="9"/>
      <c r="L24" s="9"/>
      <c r="M24" s="9"/>
      <c r="N24" s="10">
        <f>SUM(D24:M24)</f>
        <v>3003</v>
      </c>
    </row>
    <row r="25" spans="1:14" ht="19.5" customHeight="1">
      <c r="A25" s="74" t="s">
        <v>120</v>
      </c>
      <c r="B25" s="90">
        <v>16</v>
      </c>
      <c r="C25" s="80">
        <v>1</v>
      </c>
      <c r="D25" s="6">
        <v>80</v>
      </c>
      <c r="E25" s="6">
        <v>0</v>
      </c>
      <c r="F25" s="6">
        <v>0</v>
      </c>
      <c r="G25" s="6">
        <v>1450</v>
      </c>
      <c r="H25" s="6">
        <v>200</v>
      </c>
      <c r="I25" s="6">
        <v>0</v>
      </c>
      <c r="J25" s="6">
        <v>0</v>
      </c>
      <c r="K25" s="6"/>
      <c r="L25" s="48"/>
      <c r="M25" s="6"/>
      <c r="N25" s="7">
        <f>SUM(D25:M25)</f>
        <v>1730</v>
      </c>
    </row>
    <row r="26" spans="1:14" ht="19.5" customHeight="1">
      <c r="A26" s="75"/>
      <c r="B26" s="91"/>
      <c r="C26" s="92"/>
      <c r="D26" s="9">
        <v>40</v>
      </c>
      <c r="E26" s="9">
        <v>0</v>
      </c>
      <c r="F26" s="9">
        <v>0</v>
      </c>
      <c r="G26" s="9">
        <v>550</v>
      </c>
      <c r="H26" s="9">
        <v>200</v>
      </c>
      <c r="I26" s="9">
        <v>0</v>
      </c>
      <c r="J26" s="9">
        <v>0</v>
      </c>
      <c r="K26" s="9"/>
      <c r="L26" s="9"/>
      <c r="M26" s="9"/>
      <c r="N26" s="10">
        <f>SUM(D26:M26)</f>
        <v>790</v>
      </c>
    </row>
    <row r="27" spans="1:14" ht="19.5" customHeight="1">
      <c r="A27" s="74" t="s">
        <v>121</v>
      </c>
      <c r="B27" s="76">
        <f>SUM(B5:B26)</f>
        <v>702</v>
      </c>
      <c r="C27" s="80">
        <f>SUM(C5:C26)</f>
        <v>30</v>
      </c>
      <c r="D27" s="7">
        <f aca="true" t="shared" si="1" ref="D27:J27">SUM(D11+D9+D13+D15+D17+D19+D25+D13+D21+D7+D23+D5)</f>
        <v>1290</v>
      </c>
      <c r="E27" s="7">
        <f t="shared" si="1"/>
        <v>2200</v>
      </c>
      <c r="F27" s="7">
        <f t="shared" si="1"/>
        <v>1230</v>
      </c>
      <c r="G27" s="7">
        <f t="shared" si="1"/>
        <v>24434</v>
      </c>
      <c r="H27" s="7">
        <f t="shared" si="1"/>
        <v>10630</v>
      </c>
      <c r="I27" s="7">
        <f t="shared" si="1"/>
        <v>5726</v>
      </c>
      <c r="J27" s="7">
        <f t="shared" si="1"/>
        <v>650</v>
      </c>
      <c r="K27" s="7"/>
      <c r="L27" s="7"/>
      <c r="M27" s="7"/>
      <c r="N27" s="7">
        <f>SUM(N11+N9+N13+N15+N17+N19+N25+N21+N7+N23+N5)</f>
        <v>45976</v>
      </c>
    </row>
    <row r="28" spans="1:14" ht="19.5" customHeight="1">
      <c r="A28" s="75"/>
      <c r="B28" s="77"/>
      <c r="C28" s="81"/>
      <c r="D28" s="8">
        <f aca="true" t="shared" si="2" ref="D28:J28">SUM(D12+D10+D6+D14+D16+D18+D20+D26+D22+D8+D24)</f>
        <v>593</v>
      </c>
      <c r="E28" s="8">
        <f t="shared" si="2"/>
        <v>304</v>
      </c>
      <c r="F28" s="8">
        <f t="shared" si="2"/>
        <v>292</v>
      </c>
      <c r="G28" s="8">
        <f t="shared" si="2"/>
        <v>3400</v>
      </c>
      <c r="H28" s="8">
        <f t="shared" si="2"/>
        <v>2931</v>
      </c>
      <c r="I28" s="8">
        <f t="shared" si="2"/>
        <v>2171</v>
      </c>
      <c r="J28" s="8">
        <f t="shared" si="2"/>
        <v>305</v>
      </c>
      <c r="K28" s="8"/>
      <c r="L28" s="8"/>
      <c r="M28" s="8"/>
      <c r="N28" s="8">
        <f>SUM(N12+N10+N6+N14+N16+N18+N20+N26+N22+N8+N24)</f>
        <v>9996</v>
      </c>
    </row>
    <row r="29" spans="1:14" ht="19.5" customHeight="1">
      <c r="A29" s="13"/>
      <c r="B29" s="14"/>
      <c r="C29" s="4"/>
      <c r="D29" s="15"/>
      <c r="E29" s="15"/>
      <c r="F29" s="32"/>
      <c r="G29" s="15"/>
      <c r="H29" s="15"/>
      <c r="I29" s="15"/>
      <c r="J29" s="32"/>
      <c r="K29" s="15"/>
      <c r="L29" s="15"/>
      <c r="M29" s="2"/>
      <c r="N29" s="2"/>
    </row>
    <row r="30" spans="1:14" ht="19.5" customHeight="1">
      <c r="A30" s="13"/>
      <c r="B30" s="14"/>
      <c r="C30" s="4"/>
      <c r="D30" s="15"/>
      <c r="E30" s="15"/>
      <c r="F30" s="32"/>
      <c r="G30" s="15"/>
      <c r="H30" s="15"/>
      <c r="I30" s="15"/>
      <c r="J30" s="32"/>
      <c r="K30" s="15"/>
      <c r="L30" s="15"/>
      <c r="M30" s="2"/>
      <c r="N30" s="2"/>
    </row>
    <row r="31" spans="1:14" ht="19.5" customHeight="1">
      <c r="A31" s="11" t="s">
        <v>122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9.5" customHeight="1">
      <c r="A32" s="83" t="s">
        <v>100</v>
      </c>
      <c r="B32" s="85" t="s">
        <v>106</v>
      </c>
      <c r="C32" s="3" t="s">
        <v>107</v>
      </c>
      <c r="D32" s="104" t="s">
        <v>108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19.5" customHeight="1">
      <c r="A33" s="84"/>
      <c r="B33" s="86"/>
      <c r="C33" s="5" t="s">
        <v>109</v>
      </c>
      <c r="D33" s="5" t="s">
        <v>123</v>
      </c>
      <c r="E33" s="5" t="s">
        <v>124</v>
      </c>
      <c r="F33" s="5" t="s">
        <v>125</v>
      </c>
      <c r="G33" s="5" t="s">
        <v>126</v>
      </c>
      <c r="H33" s="5" t="s">
        <v>127</v>
      </c>
      <c r="I33" s="5" t="s">
        <v>128</v>
      </c>
      <c r="J33" s="5" t="s">
        <v>129</v>
      </c>
      <c r="K33" s="16" t="s">
        <v>95</v>
      </c>
      <c r="L33" s="16" t="s">
        <v>131</v>
      </c>
      <c r="M33" s="16" t="s">
        <v>132</v>
      </c>
      <c r="N33" s="12" t="s">
        <v>115</v>
      </c>
    </row>
    <row r="34" spans="1:14" ht="19.5" customHeight="1">
      <c r="A34" s="74" t="s">
        <v>91</v>
      </c>
      <c r="B34" s="76">
        <v>102</v>
      </c>
      <c r="C34" s="80">
        <v>2</v>
      </c>
      <c r="D34" s="6">
        <v>1</v>
      </c>
      <c r="E34" s="6">
        <v>0</v>
      </c>
      <c r="F34" s="6">
        <v>0</v>
      </c>
      <c r="G34" s="6">
        <v>0</v>
      </c>
      <c r="H34" s="47">
        <v>1</v>
      </c>
      <c r="I34" s="45">
        <v>0</v>
      </c>
      <c r="J34" s="6">
        <v>0</v>
      </c>
      <c r="K34" s="6">
        <v>58</v>
      </c>
      <c r="L34" s="6">
        <v>0</v>
      </c>
      <c r="M34" s="6">
        <v>0</v>
      </c>
      <c r="N34" s="6">
        <f aca="true" t="shared" si="3" ref="N34:N51">SUM(D34:M34)</f>
        <v>60</v>
      </c>
    </row>
    <row r="35" spans="1:14" ht="19.5" customHeight="1">
      <c r="A35" s="75"/>
      <c r="B35" s="77"/>
      <c r="C35" s="81"/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46">
        <v>0</v>
      </c>
      <c r="J35" s="9">
        <v>0</v>
      </c>
      <c r="K35" s="9">
        <v>5</v>
      </c>
      <c r="L35" s="9">
        <v>0</v>
      </c>
      <c r="M35" s="9">
        <v>0</v>
      </c>
      <c r="N35" s="9">
        <f t="shared" si="3"/>
        <v>6</v>
      </c>
    </row>
    <row r="36" spans="1:14" ht="19.5" customHeight="1">
      <c r="A36" s="74" t="s">
        <v>89</v>
      </c>
      <c r="B36" s="76">
        <v>0</v>
      </c>
      <c r="C36" s="80">
        <v>0</v>
      </c>
      <c r="D36" s="6">
        <v>0</v>
      </c>
      <c r="E36" s="6">
        <v>0</v>
      </c>
      <c r="F36" s="6">
        <v>0</v>
      </c>
      <c r="G36" s="6">
        <v>0</v>
      </c>
      <c r="H36" s="47">
        <v>0</v>
      </c>
      <c r="I36" s="45">
        <v>0</v>
      </c>
      <c r="J36" s="6">
        <v>0</v>
      </c>
      <c r="K36" s="6">
        <v>0</v>
      </c>
      <c r="L36" s="6">
        <v>0</v>
      </c>
      <c r="M36" s="6">
        <v>0</v>
      </c>
      <c r="N36" s="6">
        <f t="shared" si="3"/>
        <v>0</v>
      </c>
    </row>
    <row r="37" spans="1:14" ht="19.5" customHeight="1">
      <c r="A37" s="75"/>
      <c r="B37" s="77"/>
      <c r="C37" s="81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46">
        <v>0</v>
      </c>
      <c r="J37" s="9">
        <v>0</v>
      </c>
      <c r="K37" s="9">
        <v>0</v>
      </c>
      <c r="L37" s="9">
        <v>0</v>
      </c>
      <c r="M37" s="9">
        <v>0</v>
      </c>
      <c r="N37" s="9">
        <f t="shared" si="3"/>
        <v>0</v>
      </c>
    </row>
    <row r="38" spans="1:14" ht="19.5" customHeight="1">
      <c r="A38" s="74" t="s">
        <v>116</v>
      </c>
      <c r="B38" s="76">
        <v>38</v>
      </c>
      <c r="C38" s="80">
        <v>7</v>
      </c>
      <c r="D38" s="6">
        <v>4</v>
      </c>
      <c r="E38" s="6">
        <v>0</v>
      </c>
      <c r="F38" s="6">
        <v>0</v>
      </c>
      <c r="G38" s="6">
        <v>0</v>
      </c>
      <c r="H38" s="47">
        <v>15</v>
      </c>
      <c r="I38" s="45">
        <v>0</v>
      </c>
      <c r="J38" s="6">
        <v>0</v>
      </c>
      <c r="K38" s="6">
        <v>198</v>
      </c>
      <c r="L38" s="6">
        <v>0</v>
      </c>
      <c r="M38" s="6">
        <v>0</v>
      </c>
      <c r="N38" s="6">
        <f t="shared" si="3"/>
        <v>217</v>
      </c>
    </row>
    <row r="39" spans="1:14" ht="19.5" customHeight="1">
      <c r="A39" s="75"/>
      <c r="B39" s="77"/>
      <c r="C39" s="81"/>
      <c r="D39" s="9">
        <v>1</v>
      </c>
      <c r="E39" s="9">
        <v>0</v>
      </c>
      <c r="F39" s="9">
        <v>0</v>
      </c>
      <c r="G39" s="9">
        <v>0</v>
      </c>
      <c r="H39" s="9">
        <v>3</v>
      </c>
      <c r="I39" s="46">
        <v>0</v>
      </c>
      <c r="J39" s="9">
        <v>0</v>
      </c>
      <c r="K39" s="9">
        <v>16</v>
      </c>
      <c r="L39" s="9">
        <v>0</v>
      </c>
      <c r="M39" s="9">
        <v>0</v>
      </c>
      <c r="N39" s="9">
        <f t="shared" si="3"/>
        <v>20</v>
      </c>
    </row>
    <row r="40" spans="1:14" ht="19.5" customHeight="1">
      <c r="A40" s="74" t="s">
        <v>134</v>
      </c>
      <c r="B40" s="76">
        <v>70</v>
      </c>
      <c r="C40" s="80">
        <v>3</v>
      </c>
      <c r="D40" s="6">
        <v>10</v>
      </c>
      <c r="E40" s="6">
        <v>0</v>
      </c>
      <c r="F40" s="6">
        <v>15</v>
      </c>
      <c r="G40" s="6">
        <v>90</v>
      </c>
      <c r="H40" s="7">
        <v>8</v>
      </c>
      <c r="I40" s="50">
        <v>0</v>
      </c>
      <c r="J40" s="6">
        <v>51</v>
      </c>
      <c r="K40" s="6">
        <v>1197</v>
      </c>
      <c r="L40" s="6">
        <v>155</v>
      </c>
      <c r="M40" s="6">
        <v>50</v>
      </c>
      <c r="N40" s="6">
        <f t="shared" si="3"/>
        <v>1576</v>
      </c>
    </row>
    <row r="41" spans="1:14" ht="19.5" customHeight="1">
      <c r="A41" s="75"/>
      <c r="B41" s="77"/>
      <c r="C41" s="81"/>
      <c r="D41" s="9">
        <v>4</v>
      </c>
      <c r="E41" s="9">
        <v>0</v>
      </c>
      <c r="F41" s="9">
        <v>3</v>
      </c>
      <c r="G41" s="9">
        <v>7</v>
      </c>
      <c r="H41" s="9">
        <v>1</v>
      </c>
      <c r="I41" s="46">
        <v>0</v>
      </c>
      <c r="J41" s="9">
        <v>12</v>
      </c>
      <c r="K41" s="9">
        <v>165</v>
      </c>
      <c r="L41" s="9">
        <v>19</v>
      </c>
      <c r="M41" s="9">
        <v>6</v>
      </c>
      <c r="N41" s="9">
        <f t="shared" si="3"/>
        <v>217</v>
      </c>
    </row>
    <row r="42" spans="1:14" ht="19.5" customHeight="1">
      <c r="A42" s="74" t="s">
        <v>118</v>
      </c>
      <c r="B42" s="76">
        <v>28</v>
      </c>
      <c r="C42" s="80">
        <v>4</v>
      </c>
      <c r="D42" s="6">
        <v>4</v>
      </c>
      <c r="E42" s="6">
        <v>0</v>
      </c>
      <c r="F42" s="6">
        <v>0</v>
      </c>
      <c r="G42" s="6">
        <v>0</v>
      </c>
      <c r="H42" s="7">
        <v>5</v>
      </c>
      <c r="I42" s="50">
        <v>5</v>
      </c>
      <c r="J42" s="6">
        <v>12</v>
      </c>
      <c r="K42" s="6">
        <v>220</v>
      </c>
      <c r="L42" s="6">
        <v>5</v>
      </c>
      <c r="M42" s="6">
        <v>0</v>
      </c>
      <c r="N42" s="6">
        <f t="shared" si="3"/>
        <v>251</v>
      </c>
    </row>
    <row r="43" spans="1:14" ht="19.5" customHeight="1">
      <c r="A43" s="75"/>
      <c r="B43" s="77"/>
      <c r="C43" s="81"/>
      <c r="D43" s="9">
        <v>2</v>
      </c>
      <c r="E43" s="9">
        <v>0</v>
      </c>
      <c r="F43" s="9">
        <v>0</v>
      </c>
      <c r="G43" s="9">
        <v>0</v>
      </c>
      <c r="H43" s="9">
        <v>0</v>
      </c>
      <c r="I43" s="46">
        <v>0</v>
      </c>
      <c r="J43" s="9">
        <v>0</v>
      </c>
      <c r="K43" s="9">
        <v>25</v>
      </c>
      <c r="L43" s="9">
        <v>0</v>
      </c>
      <c r="M43" s="9">
        <v>0</v>
      </c>
      <c r="N43" s="9">
        <f t="shared" si="3"/>
        <v>27</v>
      </c>
    </row>
    <row r="44" spans="1:14" ht="19.5" customHeight="1">
      <c r="A44" s="74" t="s">
        <v>135</v>
      </c>
      <c r="B44" s="76">
        <v>103</v>
      </c>
      <c r="C44" s="80">
        <v>4</v>
      </c>
      <c r="D44" s="6">
        <v>1</v>
      </c>
      <c r="E44" s="6">
        <v>0</v>
      </c>
      <c r="F44" s="6">
        <v>0</v>
      </c>
      <c r="G44" s="6">
        <v>0</v>
      </c>
      <c r="H44" s="7">
        <v>107</v>
      </c>
      <c r="I44" s="50">
        <v>108</v>
      </c>
      <c r="J44" s="6">
        <v>68</v>
      </c>
      <c r="K44" s="6">
        <v>690</v>
      </c>
      <c r="L44" s="6">
        <v>0</v>
      </c>
      <c r="M44" s="6">
        <v>0</v>
      </c>
      <c r="N44" s="6">
        <f t="shared" si="3"/>
        <v>974</v>
      </c>
    </row>
    <row r="45" spans="1:14" ht="19.5" customHeight="1">
      <c r="A45" s="75"/>
      <c r="B45" s="77"/>
      <c r="C45" s="81"/>
      <c r="D45" s="9">
        <v>1</v>
      </c>
      <c r="E45" s="9">
        <v>0</v>
      </c>
      <c r="F45" s="9">
        <v>0</v>
      </c>
      <c r="G45" s="9">
        <v>0</v>
      </c>
      <c r="H45" s="9">
        <v>25</v>
      </c>
      <c r="I45" s="46">
        <v>26</v>
      </c>
      <c r="J45" s="9">
        <v>23</v>
      </c>
      <c r="K45" s="9">
        <v>200</v>
      </c>
      <c r="L45" s="9">
        <v>0</v>
      </c>
      <c r="M45" s="9">
        <v>0</v>
      </c>
      <c r="N45" s="9">
        <f t="shared" si="3"/>
        <v>275</v>
      </c>
    </row>
    <row r="46" spans="1:14" ht="19.5" customHeight="1">
      <c r="A46" s="74" t="s">
        <v>101</v>
      </c>
      <c r="B46" s="76">
        <v>127</v>
      </c>
      <c r="C46" s="80">
        <v>7</v>
      </c>
      <c r="D46" s="6">
        <v>19</v>
      </c>
      <c r="E46" s="6">
        <v>0</v>
      </c>
      <c r="F46" s="6">
        <v>0</v>
      </c>
      <c r="G46" s="6">
        <v>54</v>
      </c>
      <c r="H46" s="7">
        <v>0</v>
      </c>
      <c r="I46" s="50">
        <v>0</v>
      </c>
      <c r="J46" s="6">
        <v>83</v>
      </c>
      <c r="K46" s="6">
        <v>1295</v>
      </c>
      <c r="L46" s="6">
        <v>0</v>
      </c>
      <c r="M46" s="6">
        <v>0</v>
      </c>
      <c r="N46" s="6">
        <f t="shared" si="3"/>
        <v>1451</v>
      </c>
    </row>
    <row r="47" spans="1:14" ht="19.5" customHeight="1">
      <c r="A47" s="75"/>
      <c r="B47" s="77"/>
      <c r="C47" s="81"/>
      <c r="D47" s="9">
        <v>11</v>
      </c>
      <c r="E47" s="9">
        <v>0</v>
      </c>
      <c r="F47" s="9">
        <v>0</v>
      </c>
      <c r="G47" s="9">
        <v>8</v>
      </c>
      <c r="H47" s="9">
        <v>0</v>
      </c>
      <c r="I47" s="46">
        <v>0</v>
      </c>
      <c r="J47" s="9">
        <v>6</v>
      </c>
      <c r="K47" s="9">
        <v>211</v>
      </c>
      <c r="L47" s="9">
        <v>0</v>
      </c>
      <c r="M47" s="9">
        <v>0</v>
      </c>
      <c r="N47" s="9">
        <f t="shared" si="3"/>
        <v>236</v>
      </c>
    </row>
    <row r="48" spans="1:14" ht="19.5" customHeight="1">
      <c r="A48" s="74" t="s">
        <v>102</v>
      </c>
      <c r="B48" s="76">
        <v>118</v>
      </c>
      <c r="C48" s="80">
        <v>5</v>
      </c>
      <c r="D48" s="6">
        <v>48</v>
      </c>
      <c r="E48" s="6">
        <v>0</v>
      </c>
      <c r="F48" s="6">
        <v>0</v>
      </c>
      <c r="G48" s="6">
        <v>20</v>
      </c>
      <c r="H48" s="78">
        <v>122</v>
      </c>
      <c r="I48" s="82"/>
      <c r="J48" s="6">
        <v>231</v>
      </c>
      <c r="K48" s="6">
        <v>643</v>
      </c>
      <c r="L48" s="6">
        <v>11</v>
      </c>
      <c r="M48" s="6">
        <v>0</v>
      </c>
      <c r="N48" s="6">
        <f t="shared" si="3"/>
        <v>1075</v>
      </c>
    </row>
    <row r="49" spans="1:14" ht="19.5" customHeight="1">
      <c r="A49" s="75"/>
      <c r="B49" s="77"/>
      <c r="C49" s="81"/>
      <c r="D49" s="9">
        <v>16</v>
      </c>
      <c r="E49" s="9">
        <v>0</v>
      </c>
      <c r="F49" s="9">
        <v>0</v>
      </c>
      <c r="G49" s="9">
        <v>3</v>
      </c>
      <c r="H49" s="9">
        <v>20</v>
      </c>
      <c r="I49" s="46">
        <v>15</v>
      </c>
      <c r="J49" s="9">
        <v>35</v>
      </c>
      <c r="K49" s="9">
        <v>51</v>
      </c>
      <c r="L49" s="9">
        <v>1</v>
      </c>
      <c r="M49" s="9">
        <v>0</v>
      </c>
      <c r="N49" s="9">
        <f t="shared" si="3"/>
        <v>141</v>
      </c>
    </row>
    <row r="50" spans="1:14" ht="19.5" customHeight="1">
      <c r="A50" s="74" t="s">
        <v>88</v>
      </c>
      <c r="B50" s="76">
        <v>16</v>
      </c>
      <c r="C50" s="80">
        <v>1</v>
      </c>
      <c r="D50" s="6">
        <v>0</v>
      </c>
      <c r="E50" s="6">
        <v>0</v>
      </c>
      <c r="F50" s="6">
        <v>0</v>
      </c>
      <c r="G50" s="6">
        <v>0</v>
      </c>
      <c r="H50" s="47">
        <v>0</v>
      </c>
      <c r="I50" s="45">
        <v>0</v>
      </c>
      <c r="J50" s="6">
        <v>0</v>
      </c>
      <c r="K50" s="6">
        <v>132</v>
      </c>
      <c r="L50" s="6">
        <v>0</v>
      </c>
      <c r="M50" s="6">
        <v>0</v>
      </c>
      <c r="N50" s="6">
        <f t="shared" si="3"/>
        <v>132</v>
      </c>
    </row>
    <row r="51" spans="1:14" ht="19.5" customHeight="1">
      <c r="A51" s="75"/>
      <c r="B51" s="77"/>
      <c r="C51" s="81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46">
        <v>0</v>
      </c>
      <c r="J51" s="9">
        <v>0</v>
      </c>
      <c r="K51" s="9">
        <v>16</v>
      </c>
      <c r="L51" s="9">
        <v>0</v>
      </c>
      <c r="M51" s="9">
        <v>0</v>
      </c>
      <c r="N51" s="9">
        <f t="shared" si="3"/>
        <v>16</v>
      </c>
    </row>
    <row r="52" spans="1:14" ht="19.5" customHeight="1">
      <c r="A52" s="74" t="s">
        <v>90</v>
      </c>
      <c r="B52" s="76">
        <v>0</v>
      </c>
      <c r="C52" s="80">
        <v>0</v>
      </c>
      <c r="D52" s="6">
        <v>0</v>
      </c>
      <c r="E52" s="6">
        <v>0</v>
      </c>
      <c r="F52" s="6">
        <v>0</v>
      </c>
      <c r="G52" s="6">
        <v>0</v>
      </c>
      <c r="H52" s="47">
        <v>0</v>
      </c>
      <c r="I52" s="45">
        <v>0</v>
      </c>
      <c r="J52" s="6">
        <v>0</v>
      </c>
      <c r="K52" s="6">
        <v>0</v>
      </c>
      <c r="L52" s="6">
        <v>0</v>
      </c>
      <c r="M52" s="6">
        <v>0</v>
      </c>
      <c r="N52" s="6">
        <f>SUM(D52:M52)</f>
        <v>0</v>
      </c>
    </row>
    <row r="53" spans="1:14" ht="19.5" customHeight="1">
      <c r="A53" s="75"/>
      <c r="B53" s="77"/>
      <c r="C53" s="81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  <c r="J53" s="9">
        <v>0</v>
      </c>
      <c r="K53" s="9">
        <v>0</v>
      </c>
      <c r="L53" s="9">
        <v>0</v>
      </c>
      <c r="M53" s="9">
        <v>0</v>
      </c>
      <c r="N53" s="9">
        <f>SUM(D53:M53)</f>
        <v>0</v>
      </c>
    </row>
    <row r="54" spans="1:14" ht="19.5" customHeight="1">
      <c r="A54" s="74" t="s">
        <v>120</v>
      </c>
      <c r="B54" s="76">
        <v>84</v>
      </c>
      <c r="C54" s="80">
        <v>4</v>
      </c>
      <c r="D54" s="6">
        <v>3</v>
      </c>
      <c r="E54" s="6">
        <v>12</v>
      </c>
      <c r="F54" s="6">
        <v>12</v>
      </c>
      <c r="G54" s="6">
        <v>0</v>
      </c>
      <c r="H54" s="7">
        <v>138</v>
      </c>
      <c r="I54" s="50">
        <v>138</v>
      </c>
      <c r="J54" s="6">
        <v>68</v>
      </c>
      <c r="K54" s="6">
        <v>563</v>
      </c>
      <c r="L54" s="6">
        <v>12</v>
      </c>
      <c r="M54" s="6">
        <v>0</v>
      </c>
      <c r="N54" s="6">
        <f>SUM(D54:M54)</f>
        <v>946</v>
      </c>
    </row>
    <row r="55" spans="1:14" ht="19.5" customHeight="1">
      <c r="A55" s="75"/>
      <c r="B55" s="77"/>
      <c r="C55" s="81"/>
      <c r="D55" s="9">
        <v>3</v>
      </c>
      <c r="E55" s="9">
        <v>1</v>
      </c>
      <c r="F55" s="9">
        <v>0</v>
      </c>
      <c r="G55" s="9">
        <v>0</v>
      </c>
      <c r="H55" s="9">
        <v>47</v>
      </c>
      <c r="I55" s="46">
        <v>70</v>
      </c>
      <c r="J55" s="9">
        <v>13</v>
      </c>
      <c r="K55" s="9">
        <v>216</v>
      </c>
      <c r="L55" s="9">
        <v>5</v>
      </c>
      <c r="M55" s="9">
        <v>0</v>
      </c>
      <c r="N55" s="9">
        <f>SUM(D55:M55)</f>
        <v>355</v>
      </c>
    </row>
    <row r="56" spans="1:14" ht="19.5" customHeight="1">
      <c r="A56" s="74" t="s">
        <v>136</v>
      </c>
      <c r="B56" s="76">
        <f>SUM(B34:B55)</f>
        <v>686</v>
      </c>
      <c r="C56" s="80">
        <f>SUM(C34:C55)</f>
        <v>37</v>
      </c>
      <c r="D56" s="7">
        <f>D40+D38+D34+D42+D44+D46+D48+D54+D50+D36+D52</f>
        <v>90</v>
      </c>
      <c r="E56" s="7">
        <f aca="true" t="shared" si="4" ref="D56:N57">E40+E38+E34+E42+E44+E46+E48+E54+E50+E36+E52</f>
        <v>12</v>
      </c>
      <c r="F56" s="7">
        <f t="shared" si="4"/>
        <v>27</v>
      </c>
      <c r="G56" s="7">
        <f t="shared" si="4"/>
        <v>164</v>
      </c>
      <c r="H56" s="7">
        <f t="shared" si="4"/>
        <v>396</v>
      </c>
      <c r="I56" s="7">
        <f t="shared" si="4"/>
        <v>251</v>
      </c>
      <c r="J56" s="7">
        <f t="shared" si="4"/>
        <v>513</v>
      </c>
      <c r="K56" s="7">
        <f t="shared" si="4"/>
        <v>4996</v>
      </c>
      <c r="L56" s="7">
        <f t="shared" si="4"/>
        <v>183</v>
      </c>
      <c r="M56" s="7">
        <f t="shared" si="4"/>
        <v>50</v>
      </c>
      <c r="N56" s="7">
        <f t="shared" si="4"/>
        <v>6682</v>
      </c>
    </row>
    <row r="57" spans="1:16" ht="19.5" customHeight="1">
      <c r="A57" s="75"/>
      <c r="B57" s="77"/>
      <c r="C57" s="81"/>
      <c r="D57" s="8">
        <f t="shared" si="4"/>
        <v>38</v>
      </c>
      <c r="E57" s="8">
        <f t="shared" si="4"/>
        <v>1</v>
      </c>
      <c r="F57" s="8">
        <f t="shared" si="4"/>
        <v>3</v>
      </c>
      <c r="G57" s="8">
        <f t="shared" si="4"/>
        <v>18</v>
      </c>
      <c r="H57" s="8">
        <f t="shared" si="4"/>
        <v>97</v>
      </c>
      <c r="I57" s="8">
        <f t="shared" si="4"/>
        <v>111</v>
      </c>
      <c r="J57" s="8">
        <f t="shared" si="4"/>
        <v>89</v>
      </c>
      <c r="K57" s="8">
        <f t="shared" si="4"/>
        <v>905</v>
      </c>
      <c r="L57" s="8">
        <f t="shared" si="4"/>
        <v>25</v>
      </c>
      <c r="M57" s="8">
        <f t="shared" si="4"/>
        <v>6</v>
      </c>
      <c r="N57" s="8">
        <f>SUM(D57:M57)</f>
        <v>1293</v>
      </c>
      <c r="P57" s="53">
        <f>N57+N28</f>
        <v>11289</v>
      </c>
    </row>
  </sheetData>
  <sheetProtection/>
  <mergeCells count="80">
    <mergeCell ref="A56:A57"/>
    <mergeCell ref="B56:B57"/>
    <mergeCell ref="C56:C57"/>
    <mergeCell ref="A36:A37"/>
    <mergeCell ref="B36:B37"/>
    <mergeCell ref="C36:C37"/>
    <mergeCell ref="A52:A53"/>
    <mergeCell ref="B52:B53"/>
    <mergeCell ref="C52:C53"/>
    <mergeCell ref="A54:A55"/>
    <mergeCell ref="A48:A49"/>
    <mergeCell ref="B48:B49"/>
    <mergeCell ref="C48:C49"/>
    <mergeCell ref="B54:B55"/>
    <mergeCell ref="C54:C55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C34:C35"/>
    <mergeCell ref="A42:A43"/>
    <mergeCell ref="B42:B43"/>
    <mergeCell ref="C42:C43"/>
    <mergeCell ref="C40:C41"/>
    <mergeCell ref="A38:A39"/>
    <mergeCell ref="B38:B39"/>
    <mergeCell ref="C38:C39"/>
    <mergeCell ref="A32:A33"/>
    <mergeCell ref="B32:B33"/>
    <mergeCell ref="A40:A41"/>
    <mergeCell ref="B40:B41"/>
    <mergeCell ref="A34:A35"/>
    <mergeCell ref="B34:B35"/>
    <mergeCell ref="A23:A24"/>
    <mergeCell ref="B23:B24"/>
    <mergeCell ref="C23:C24"/>
    <mergeCell ref="A27:A28"/>
    <mergeCell ref="B27:B28"/>
    <mergeCell ref="C27:C28"/>
    <mergeCell ref="A25:A26"/>
    <mergeCell ref="B25:B26"/>
    <mergeCell ref="C25:C26"/>
    <mergeCell ref="A17:A18"/>
    <mergeCell ref="B17:B18"/>
    <mergeCell ref="C17:C18"/>
    <mergeCell ref="A21:A22"/>
    <mergeCell ref="B21:B22"/>
    <mergeCell ref="C21:C22"/>
    <mergeCell ref="A19:A20"/>
    <mergeCell ref="B19:B20"/>
    <mergeCell ref="C19:C20"/>
    <mergeCell ref="A13:A14"/>
    <mergeCell ref="B13:B14"/>
    <mergeCell ref="C13:C14"/>
    <mergeCell ref="B15:B16"/>
    <mergeCell ref="C15:C16"/>
    <mergeCell ref="A15:A16"/>
    <mergeCell ref="C11:C12"/>
    <mergeCell ref="A9:A10"/>
    <mergeCell ref="B9:B10"/>
    <mergeCell ref="C9:C10"/>
    <mergeCell ref="C5:C6"/>
    <mergeCell ref="A7:A8"/>
    <mergeCell ref="B7:B8"/>
    <mergeCell ref="C7:C8"/>
    <mergeCell ref="D3:N3"/>
    <mergeCell ref="O21:O22"/>
    <mergeCell ref="D32:N32"/>
    <mergeCell ref="H48:I48"/>
    <mergeCell ref="A3:A4"/>
    <mergeCell ref="B3:B4"/>
    <mergeCell ref="A11:A12"/>
    <mergeCell ref="B11:B12"/>
    <mergeCell ref="A5:A6"/>
    <mergeCell ref="B5:B6"/>
  </mergeCells>
  <printOptions/>
  <pageMargins left="0.75" right="0.75" top="1" bottom="1" header="0.512" footer="0.512"/>
  <pageSetup horizontalDpi="600" verticalDpi="600" orientation="portrait" paperSize="9" scale="59" r:id="rId1"/>
  <headerFooter alignWithMargins="0">
    <oddFooter>&amp;C&amp;14-22-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N56"/>
  <sheetViews>
    <sheetView zoomScale="85" zoomScaleNormal="85" zoomScaleSheetLayoutView="75" zoomScalePageLayoutView="0" workbookViewId="0" topLeftCell="A13">
      <selection activeCell="A1" sqref="A1"/>
    </sheetView>
  </sheetViews>
  <sheetFormatPr defaultColWidth="9.00390625" defaultRowHeight="13.5"/>
  <cols>
    <col min="1" max="1" width="9.00390625" style="2" customWidth="1"/>
    <col min="2" max="2" width="4.125" style="2" customWidth="1"/>
    <col min="3" max="3" width="7.125" style="2" customWidth="1"/>
    <col min="4" max="14" width="7.625" style="2" customWidth="1"/>
    <col min="15" max="16384" width="9.00390625" style="2" customWidth="1"/>
  </cols>
  <sheetData>
    <row r="1" s="1" customFormat="1" ht="17.25">
      <c r="A1" s="1" t="s">
        <v>94</v>
      </c>
    </row>
    <row r="2" ht="13.5" customHeight="1">
      <c r="A2" s="2" t="s">
        <v>0</v>
      </c>
    </row>
    <row r="3" spans="1:14" ht="13.5" customHeight="1">
      <c r="A3" s="114" t="s">
        <v>30</v>
      </c>
      <c r="B3" s="85" t="s">
        <v>34</v>
      </c>
      <c r="C3" s="3" t="s">
        <v>17</v>
      </c>
      <c r="D3" s="104" t="s">
        <v>32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3.5" customHeight="1">
      <c r="A4" s="81"/>
      <c r="B4" s="86"/>
      <c r="C4" s="5" t="s">
        <v>1</v>
      </c>
      <c r="D4" s="5" t="s">
        <v>2</v>
      </c>
      <c r="E4" s="5" t="s">
        <v>4</v>
      </c>
      <c r="F4" s="5" t="s">
        <v>3</v>
      </c>
      <c r="G4" s="5" t="s">
        <v>5</v>
      </c>
      <c r="H4" s="5" t="s">
        <v>7</v>
      </c>
      <c r="I4" s="5" t="s">
        <v>6</v>
      </c>
      <c r="J4" s="16" t="s">
        <v>36</v>
      </c>
      <c r="K4" s="17" t="s">
        <v>92</v>
      </c>
      <c r="L4" s="17" t="s">
        <v>93</v>
      </c>
      <c r="M4" s="5"/>
      <c r="N4" s="12" t="s">
        <v>8</v>
      </c>
    </row>
    <row r="5" spans="1:14" ht="13.5" customHeight="1">
      <c r="A5" s="74" t="s">
        <v>20</v>
      </c>
      <c r="B5" s="90">
        <v>61</v>
      </c>
      <c r="C5" s="80">
        <v>7</v>
      </c>
      <c r="D5" s="6">
        <v>150</v>
      </c>
      <c r="E5" s="6">
        <v>0</v>
      </c>
      <c r="F5" s="6">
        <v>0</v>
      </c>
      <c r="G5" s="6">
        <v>2514</v>
      </c>
      <c r="H5" s="6">
        <v>1800</v>
      </c>
      <c r="I5" s="6">
        <v>880</v>
      </c>
      <c r="J5" s="6">
        <v>0</v>
      </c>
      <c r="K5" s="6"/>
      <c r="L5" s="6"/>
      <c r="M5" s="6"/>
      <c r="N5" s="7">
        <f aca="true" t="shared" si="0" ref="N5:N20">SUM(D5:M5)</f>
        <v>5344</v>
      </c>
    </row>
    <row r="6" spans="1:14" ht="13.5" customHeight="1">
      <c r="A6" s="75"/>
      <c r="B6" s="91"/>
      <c r="C6" s="92"/>
      <c r="D6" s="9">
        <v>44</v>
      </c>
      <c r="E6" s="9">
        <v>0</v>
      </c>
      <c r="F6" s="9">
        <v>0</v>
      </c>
      <c r="G6" s="9">
        <v>827</v>
      </c>
      <c r="H6" s="9">
        <v>804</v>
      </c>
      <c r="I6" s="9">
        <v>246</v>
      </c>
      <c r="J6" s="9">
        <v>0</v>
      </c>
      <c r="K6" s="9"/>
      <c r="L6" s="9"/>
      <c r="M6" s="9"/>
      <c r="N6" s="10">
        <f t="shared" si="0"/>
        <v>1921</v>
      </c>
    </row>
    <row r="7" spans="1:14" ht="13.5" customHeight="1">
      <c r="A7" s="74" t="s">
        <v>21</v>
      </c>
      <c r="B7" s="90">
        <v>46</v>
      </c>
      <c r="C7" s="80">
        <v>5</v>
      </c>
      <c r="D7" s="6">
        <v>0</v>
      </c>
      <c r="E7" s="6">
        <v>100</v>
      </c>
      <c r="F7" s="6">
        <v>540</v>
      </c>
      <c r="G7" s="6">
        <v>1800</v>
      </c>
      <c r="H7" s="6">
        <v>2640</v>
      </c>
      <c r="I7" s="6">
        <v>2030</v>
      </c>
      <c r="J7" s="6">
        <v>0</v>
      </c>
      <c r="K7" s="6"/>
      <c r="L7" s="6"/>
      <c r="M7" s="6"/>
      <c r="N7" s="7">
        <f t="shared" si="0"/>
        <v>7110</v>
      </c>
    </row>
    <row r="8" spans="1:14" ht="13.5" customHeight="1">
      <c r="A8" s="75"/>
      <c r="B8" s="91"/>
      <c r="C8" s="92"/>
      <c r="D8" s="9">
        <v>0</v>
      </c>
      <c r="E8" s="9">
        <v>74</v>
      </c>
      <c r="F8" s="9">
        <v>28</v>
      </c>
      <c r="G8" s="9">
        <v>360</v>
      </c>
      <c r="H8" s="9">
        <v>380</v>
      </c>
      <c r="I8" s="9">
        <v>1021</v>
      </c>
      <c r="J8" s="9">
        <v>0</v>
      </c>
      <c r="K8" s="9"/>
      <c r="L8" s="9"/>
      <c r="M8" s="9"/>
      <c r="N8" s="10">
        <f t="shared" si="0"/>
        <v>1863</v>
      </c>
    </row>
    <row r="9" spans="1:14" ht="13.5" customHeight="1">
      <c r="A9" s="74" t="s">
        <v>91</v>
      </c>
      <c r="B9" s="90"/>
      <c r="C9" s="80"/>
      <c r="D9" s="6"/>
      <c r="E9" s="6"/>
      <c r="F9" s="6"/>
      <c r="G9" s="6"/>
      <c r="H9" s="6"/>
      <c r="I9" s="6"/>
      <c r="J9" s="6"/>
      <c r="K9" s="6"/>
      <c r="L9" s="6"/>
      <c r="M9" s="6"/>
      <c r="N9" s="7">
        <f>SUM(D9:M9)</f>
        <v>0</v>
      </c>
    </row>
    <row r="10" spans="1:14" ht="13.5" customHeight="1">
      <c r="A10" s="75"/>
      <c r="B10" s="91"/>
      <c r="C10" s="92"/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>SUM(D10:M10)</f>
        <v>0</v>
      </c>
    </row>
    <row r="11" spans="1:14" ht="13.5" customHeight="1">
      <c r="A11" s="74" t="s">
        <v>22</v>
      </c>
      <c r="B11" s="90">
        <v>9</v>
      </c>
      <c r="C11" s="80">
        <v>2</v>
      </c>
      <c r="D11" s="6">
        <v>0</v>
      </c>
      <c r="E11" s="6">
        <v>0</v>
      </c>
      <c r="F11" s="6">
        <v>0</v>
      </c>
      <c r="G11" s="6">
        <v>540</v>
      </c>
      <c r="H11" s="6">
        <v>200</v>
      </c>
      <c r="I11" s="6">
        <v>0</v>
      </c>
      <c r="J11" s="6">
        <v>0</v>
      </c>
      <c r="K11" s="6"/>
      <c r="L11" s="6"/>
      <c r="M11" s="6"/>
      <c r="N11" s="7">
        <f t="shared" si="0"/>
        <v>740</v>
      </c>
    </row>
    <row r="12" spans="1:14" ht="13.5" customHeight="1">
      <c r="A12" s="75"/>
      <c r="B12" s="91"/>
      <c r="C12" s="92"/>
      <c r="D12" s="9">
        <v>0</v>
      </c>
      <c r="E12" s="9">
        <v>0</v>
      </c>
      <c r="F12" s="9">
        <v>0</v>
      </c>
      <c r="G12" s="9">
        <v>219</v>
      </c>
      <c r="H12" s="9">
        <v>0</v>
      </c>
      <c r="I12" s="9">
        <v>0</v>
      </c>
      <c r="J12" s="9">
        <v>0</v>
      </c>
      <c r="K12" s="9"/>
      <c r="L12" s="9"/>
      <c r="M12" s="9"/>
      <c r="N12" s="10">
        <f t="shared" si="0"/>
        <v>219</v>
      </c>
    </row>
    <row r="13" spans="1:14" ht="13.5" customHeight="1">
      <c r="A13" s="74" t="s">
        <v>23</v>
      </c>
      <c r="B13" s="90">
        <v>21</v>
      </c>
      <c r="C13" s="80">
        <v>4</v>
      </c>
      <c r="D13" s="6">
        <v>0</v>
      </c>
      <c r="E13" s="6">
        <v>0</v>
      </c>
      <c r="F13" s="6">
        <v>0</v>
      </c>
      <c r="G13" s="6">
        <v>575</v>
      </c>
      <c r="H13" s="6">
        <v>0</v>
      </c>
      <c r="I13" s="6">
        <v>302</v>
      </c>
      <c r="J13" s="6">
        <v>0</v>
      </c>
      <c r="K13" s="6"/>
      <c r="L13" s="6"/>
      <c r="M13" s="6"/>
      <c r="N13" s="7">
        <f t="shared" si="0"/>
        <v>877</v>
      </c>
    </row>
    <row r="14" spans="1:14" ht="13.5" customHeight="1">
      <c r="A14" s="75"/>
      <c r="B14" s="91"/>
      <c r="C14" s="92"/>
      <c r="D14" s="9">
        <v>0</v>
      </c>
      <c r="E14" s="9">
        <v>0</v>
      </c>
      <c r="F14" s="9">
        <v>0</v>
      </c>
      <c r="G14" s="9">
        <v>119</v>
      </c>
      <c r="H14" s="9">
        <v>0</v>
      </c>
      <c r="I14" s="9">
        <v>302</v>
      </c>
      <c r="J14" s="9">
        <v>0</v>
      </c>
      <c r="K14" s="9"/>
      <c r="L14" s="9"/>
      <c r="M14" s="9"/>
      <c r="N14" s="10">
        <f t="shared" si="0"/>
        <v>421</v>
      </c>
    </row>
    <row r="15" spans="1:14" ht="13.5" customHeight="1">
      <c r="A15" s="74" t="s">
        <v>18</v>
      </c>
      <c r="B15" s="90">
        <v>29</v>
      </c>
      <c r="C15" s="80">
        <v>5</v>
      </c>
      <c r="D15" s="6">
        <v>0</v>
      </c>
      <c r="E15" s="6">
        <v>150</v>
      </c>
      <c r="F15" s="6">
        <v>630</v>
      </c>
      <c r="G15" s="6">
        <v>590</v>
      </c>
      <c r="H15" s="6">
        <v>2250</v>
      </c>
      <c r="I15" s="6">
        <v>310</v>
      </c>
      <c r="J15" s="6">
        <v>150</v>
      </c>
      <c r="K15" s="6"/>
      <c r="L15" s="6"/>
      <c r="M15" s="6"/>
      <c r="N15" s="7">
        <f t="shared" si="0"/>
        <v>4080</v>
      </c>
    </row>
    <row r="16" spans="1:14" ht="13.5" customHeight="1">
      <c r="A16" s="75"/>
      <c r="B16" s="91"/>
      <c r="C16" s="92"/>
      <c r="D16" s="9">
        <v>0</v>
      </c>
      <c r="E16" s="9">
        <v>3</v>
      </c>
      <c r="F16" s="9">
        <v>7</v>
      </c>
      <c r="G16" s="9">
        <v>152</v>
      </c>
      <c r="H16" s="9">
        <v>490</v>
      </c>
      <c r="I16" s="9">
        <v>240</v>
      </c>
      <c r="J16" s="9">
        <v>18</v>
      </c>
      <c r="K16" s="9"/>
      <c r="L16" s="9"/>
      <c r="M16" s="9"/>
      <c r="N16" s="10">
        <f t="shared" si="0"/>
        <v>910</v>
      </c>
    </row>
    <row r="17" spans="1:14" ht="13.5" customHeight="1">
      <c r="A17" s="74" t="s">
        <v>24</v>
      </c>
      <c r="B17" s="90">
        <v>21</v>
      </c>
      <c r="C17" s="80">
        <v>6</v>
      </c>
      <c r="D17" s="6">
        <v>0</v>
      </c>
      <c r="E17" s="6">
        <v>0</v>
      </c>
      <c r="F17" s="6">
        <v>85</v>
      </c>
      <c r="G17" s="6">
        <v>1470</v>
      </c>
      <c r="H17" s="6">
        <v>1200</v>
      </c>
      <c r="I17" s="6">
        <v>0</v>
      </c>
      <c r="J17" s="6">
        <v>0</v>
      </c>
      <c r="K17" s="6"/>
      <c r="L17" s="6"/>
      <c r="M17" s="6"/>
      <c r="N17" s="7">
        <f t="shared" si="0"/>
        <v>2755</v>
      </c>
    </row>
    <row r="18" spans="1:14" ht="13.5" customHeight="1">
      <c r="A18" s="75"/>
      <c r="B18" s="91"/>
      <c r="C18" s="92"/>
      <c r="D18" s="9">
        <v>0</v>
      </c>
      <c r="E18" s="9">
        <v>0</v>
      </c>
      <c r="F18" s="9">
        <v>35</v>
      </c>
      <c r="G18" s="9">
        <v>267</v>
      </c>
      <c r="H18" s="9">
        <v>43</v>
      </c>
      <c r="I18" s="9">
        <v>0</v>
      </c>
      <c r="J18" s="9">
        <v>0</v>
      </c>
      <c r="K18" s="9"/>
      <c r="L18" s="9"/>
      <c r="M18" s="9"/>
      <c r="N18" s="10">
        <f t="shared" si="0"/>
        <v>345</v>
      </c>
    </row>
    <row r="19" spans="1:14" ht="13.5" customHeight="1">
      <c r="A19" s="74" t="s">
        <v>19</v>
      </c>
      <c r="B19" s="90">
        <v>248</v>
      </c>
      <c r="C19" s="80">
        <v>15</v>
      </c>
      <c r="D19" s="6">
        <v>1950</v>
      </c>
      <c r="E19" s="6">
        <v>866</v>
      </c>
      <c r="F19" s="6">
        <v>600</v>
      </c>
      <c r="G19" s="6">
        <v>14520</v>
      </c>
      <c r="H19" s="6">
        <v>7950</v>
      </c>
      <c r="I19" s="6">
        <v>2090</v>
      </c>
      <c r="J19" s="6">
        <v>400</v>
      </c>
      <c r="K19" s="6"/>
      <c r="L19" s="6"/>
      <c r="M19" s="6"/>
      <c r="N19" s="7">
        <f t="shared" si="0"/>
        <v>28376</v>
      </c>
    </row>
    <row r="20" spans="1:14" ht="13.5" customHeight="1">
      <c r="A20" s="75"/>
      <c r="B20" s="91"/>
      <c r="C20" s="92"/>
      <c r="D20" s="9">
        <v>466</v>
      </c>
      <c r="E20" s="9">
        <v>593</v>
      </c>
      <c r="F20" s="9">
        <v>170</v>
      </c>
      <c r="G20" s="9">
        <v>2132</v>
      </c>
      <c r="H20" s="9">
        <v>3224</v>
      </c>
      <c r="I20" s="9">
        <v>1065</v>
      </c>
      <c r="J20" s="9">
        <v>15</v>
      </c>
      <c r="K20" s="9"/>
      <c r="L20" s="9"/>
      <c r="M20" s="9"/>
      <c r="N20" s="10">
        <f t="shared" si="0"/>
        <v>7665</v>
      </c>
    </row>
    <row r="21" spans="1:14" ht="13.5" customHeight="1">
      <c r="A21" s="74" t="s">
        <v>88</v>
      </c>
      <c r="B21" s="90"/>
      <c r="C21" s="80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 aca="true" t="shared" si="1" ref="N21:N26">SUM(D21:M21)</f>
        <v>0</v>
      </c>
    </row>
    <row r="22" spans="1:14" ht="13.5" customHeight="1">
      <c r="A22" s="75"/>
      <c r="B22" s="91"/>
      <c r="C22" s="92"/>
      <c r="D22" s="9"/>
      <c r="E22" s="9"/>
      <c r="F22" s="9"/>
      <c r="G22" s="9"/>
      <c r="H22" s="9"/>
      <c r="I22" s="9"/>
      <c r="J22" s="9"/>
      <c r="K22" s="9"/>
      <c r="L22" s="9"/>
      <c r="M22" s="9"/>
      <c r="N22" s="10">
        <f t="shared" si="1"/>
        <v>0</v>
      </c>
    </row>
    <row r="23" spans="1:14" ht="13.5" customHeight="1">
      <c r="A23" s="74" t="s">
        <v>89</v>
      </c>
      <c r="B23" s="90"/>
      <c r="C23" s="80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f t="shared" si="1"/>
        <v>0</v>
      </c>
    </row>
    <row r="24" spans="1:14" ht="13.5" customHeight="1">
      <c r="A24" s="75"/>
      <c r="B24" s="91"/>
      <c r="C24" s="92"/>
      <c r="D24" s="9"/>
      <c r="E24" s="9"/>
      <c r="F24" s="9"/>
      <c r="G24" s="9"/>
      <c r="H24" s="9"/>
      <c r="I24" s="9"/>
      <c r="J24" s="9"/>
      <c r="K24" s="9"/>
      <c r="L24" s="9"/>
      <c r="M24" s="9"/>
      <c r="N24" s="10">
        <f t="shared" si="1"/>
        <v>0</v>
      </c>
    </row>
    <row r="25" spans="1:14" ht="13.5" customHeight="1">
      <c r="A25" s="74" t="s">
        <v>90</v>
      </c>
      <c r="B25" s="90"/>
      <c r="C25" s="80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 t="shared" si="1"/>
        <v>0</v>
      </c>
    </row>
    <row r="26" spans="1:14" ht="13.5" customHeight="1">
      <c r="A26" s="75"/>
      <c r="B26" s="91"/>
      <c r="C26" s="92"/>
      <c r="D26" s="9"/>
      <c r="E26" s="9"/>
      <c r="F26" s="9"/>
      <c r="G26" s="9"/>
      <c r="H26" s="9"/>
      <c r="I26" s="9"/>
      <c r="J26" s="9"/>
      <c r="K26" s="9"/>
      <c r="L26" s="9"/>
      <c r="M26" s="9"/>
      <c r="N26" s="10">
        <f t="shared" si="1"/>
        <v>0</v>
      </c>
    </row>
    <row r="27" spans="1:14" ht="13.5" customHeight="1">
      <c r="A27" s="74" t="s">
        <v>25</v>
      </c>
      <c r="B27" s="76">
        <f>SUM(B5:B26)</f>
        <v>435</v>
      </c>
      <c r="C27" s="80">
        <f>SUM(C5:C26)</f>
        <v>44</v>
      </c>
      <c r="D27" s="7">
        <f aca="true" t="shared" si="2" ref="D27:M27">SUM(D5+D7+D11+D13+D15+D17+D19+D11+D21+D23+D25+D9)</f>
        <v>2100</v>
      </c>
      <c r="E27" s="7">
        <f t="shared" si="2"/>
        <v>1116</v>
      </c>
      <c r="F27" s="7">
        <f t="shared" si="2"/>
        <v>1855</v>
      </c>
      <c r="G27" s="7">
        <f t="shared" si="2"/>
        <v>22549</v>
      </c>
      <c r="H27" s="7">
        <f t="shared" si="2"/>
        <v>16240</v>
      </c>
      <c r="I27" s="7">
        <f t="shared" si="2"/>
        <v>5612</v>
      </c>
      <c r="J27" s="7">
        <f t="shared" si="2"/>
        <v>550</v>
      </c>
      <c r="K27" s="7">
        <f t="shared" si="2"/>
        <v>0</v>
      </c>
      <c r="L27" s="7">
        <f t="shared" si="2"/>
        <v>0</v>
      </c>
      <c r="M27" s="7">
        <f t="shared" si="2"/>
        <v>0</v>
      </c>
      <c r="N27" s="7">
        <f>SUM(N5+N7+N11+N13+N15+N17+N19+N21+N23+N25+N9)</f>
        <v>49282</v>
      </c>
    </row>
    <row r="28" spans="1:14" ht="13.5" customHeight="1">
      <c r="A28" s="75"/>
      <c r="B28" s="77"/>
      <c r="C28" s="81"/>
      <c r="D28" s="8">
        <f aca="true" t="shared" si="3" ref="D28:N28">SUM(D6+D8+D10+D12+D14+D16+D18+D20+D22+D24+D26)</f>
        <v>510</v>
      </c>
      <c r="E28" s="8">
        <f t="shared" si="3"/>
        <v>670</v>
      </c>
      <c r="F28" s="8">
        <f t="shared" si="3"/>
        <v>240</v>
      </c>
      <c r="G28" s="8">
        <f t="shared" si="3"/>
        <v>4076</v>
      </c>
      <c r="H28" s="8">
        <f t="shared" si="3"/>
        <v>4941</v>
      </c>
      <c r="I28" s="8">
        <f t="shared" si="3"/>
        <v>2874</v>
      </c>
      <c r="J28" s="8">
        <f t="shared" si="3"/>
        <v>33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13344</v>
      </c>
    </row>
    <row r="29" spans="1:12" ht="13.5" customHeight="1">
      <c r="A29" s="13"/>
      <c r="B29" s="14"/>
      <c r="C29" s="4"/>
      <c r="D29" s="15"/>
      <c r="E29" s="15"/>
      <c r="F29" s="32" t="s">
        <v>87</v>
      </c>
      <c r="G29" s="15"/>
      <c r="H29" s="15"/>
      <c r="I29" s="15"/>
      <c r="J29" s="32"/>
      <c r="K29" s="15"/>
      <c r="L29" s="15"/>
    </row>
    <row r="30" ht="13.5" customHeight="1">
      <c r="A30" s="11" t="s">
        <v>9</v>
      </c>
    </row>
    <row r="31" spans="1:14" ht="13.5" customHeight="1">
      <c r="A31" s="95" t="s">
        <v>31</v>
      </c>
      <c r="B31" s="85" t="s">
        <v>35</v>
      </c>
      <c r="C31" s="3" t="s">
        <v>17</v>
      </c>
      <c r="D31" s="104" t="s">
        <v>33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ht="13.5" customHeight="1">
      <c r="A32" s="75"/>
      <c r="B32" s="86"/>
      <c r="C32" s="5" t="s">
        <v>1</v>
      </c>
      <c r="D32" s="5" t="s">
        <v>11</v>
      </c>
      <c r="E32" s="5" t="s">
        <v>13</v>
      </c>
      <c r="F32" s="5" t="s">
        <v>12</v>
      </c>
      <c r="G32" s="5" t="s">
        <v>10</v>
      </c>
      <c r="H32" s="5" t="s">
        <v>14</v>
      </c>
      <c r="I32" s="5" t="s">
        <v>15</v>
      </c>
      <c r="J32" s="5" t="s">
        <v>16</v>
      </c>
      <c r="K32" s="16" t="s">
        <v>95</v>
      </c>
      <c r="L32" s="16" t="s">
        <v>96</v>
      </c>
      <c r="M32" s="16" t="s">
        <v>97</v>
      </c>
      <c r="N32" s="12" t="s">
        <v>8</v>
      </c>
    </row>
    <row r="33" spans="1:14" ht="13.5" customHeight="1">
      <c r="A33" s="74" t="s">
        <v>29</v>
      </c>
      <c r="B33" s="76">
        <v>89</v>
      </c>
      <c r="C33" s="80">
        <v>6</v>
      </c>
      <c r="D33" s="6">
        <v>11</v>
      </c>
      <c r="E33" s="6">
        <v>0</v>
      </c>
      <c r="F33" s="6">
        <v>15</v>
      </c>
      <c r="G33" s="6">
        <v>80</v>
      </c>
      <c r="H33" s="115">
        <v>10</v>
      </c>
      <c r="I33" s="116"/>
      <c r="J33" s="6">
        <v>95</v>
      </c>
      <c r="K33" s="6">
        <v>809</v>
      </c>
      <c r="L33" s="6">
        <v>95</v>
      </c>
      <c r="M33" s="6">
        <v>50</v>
      </c>
      <c r="N33" s="6">
        <f>SUM(D33:M33)</f>
        <v>1165</v>
      </c>
    </row>
    <row r="34" spans="1:14" ht="13.5" customHeight="1">
      <c r="A34" s="75"/>
      <c r="B34" s="77"/>
      <c r="C34" s="81"/>
      <c r="D34" s="9">
        <v>4</v>
      </c>
      <c r="E34" s="9">
        <v>0</v>
      </c>
      <c r="F34" s="9">
        <v>5</v>
      </c>
      <c r="G34" s="9">
        <v>0</v>
      </c>
      <c r="H34" s="9">
        <v>3</v>
      </c>
      <c r="I34" s="9">
        <v>0</v>
      </c>
      <c r="J34" s="9">
        <v>91</v>
      </c>
      <c r="K34" s="9">
        <v>219</v>
      </c>
      <c r="L34" s="9">
        <v>31</v>
      </c>
      <c r="M34" s="9">
        <v>14</v>
      </c>
      <c r="N34" s="9">
        <f aca="true" t="shared" si="4" ref="N34:N54">SUM(D34:M34)</f>
        <v>367</v>
      </c>
    </row>
    <row r="35" spans="1:14" ht="13.5" customHeight="1">
      <c r="A35" s="74" t="s">
        <v>21</v>
      </c>
      <c r="B35" s="76">
        <v>43</v>
      </c>
      <c r="C35" s="80">
        <v>10</v>
      </c>
      <c r="D35" s="6">
        <v>5</v>
      </c>
      <c r="E35" s="6">
        <v>0</v>
      </c>
      <c r="F35" s="6">
        <v>0</v>
      </c>
      <c r="G35" s="6">
        <v>0</v>
      </c>
      <c r="H35" s="115">
        <v>45</v>
      </c>
      <c r="I35" s="116"/>
      <c r="J35" s="6">
        <v>0</v>
      </c>
      <c r="K35" s="6">
        <v>345</v>
      </c>
      <c r="L35" s="6">
        <v>0</v>
      </c>
      <c r="M35" s="6">
        <v>220</v>
      </c>
      <c r="N35" s="6">
        <f t="shared" si="4"/>
        <v>615</v>
      </c>
    </row>
    <row r="36" spans="1:14" ht="13.5" customHeight="1">
      <c r="A36" s="75"/>
      <c r="B36" s="77"/>
      <c r="C36" s="81"/>
      <c r="D36" s="9">
        <v>1</v>
      </c>
      <c r="E36" s="9">
        <v>0</v>
      </c>
      <c r="F36" s="9">
        <v>0</v>
      </c>
      <c r="G36" s="9">
        <v>0</v>
      </c>
      <c r="H36" s="9">
        <v>1</v>
      </c>
      <c r="I36" s="9">
        <v>1</v>
      </c>
      <c r="J36" s="9">
        <v>0</v>
      </c>
      <c r="K36" s="9">
        <v>23</v>
      </c>
      <c r="L36" s="9">
        <v>0</v>
      </c>
      <c r="M36" s="9">
        <v>139</v>
      </c>
      <c r="N36" s="9">
        <f t="shared" si="4"/>
        <v>165</v>
      </c>
    </row>
    <row r="37" spans="1:14" ht="13.5" customHeight="1">
      <c r="A37" s="74" t="s">
        <v>91</v>
      </c>
      <c r="B37" s="76"/>
      <c r="C37" s="80"/>
      <c r="D37" s="6"/>
      <c r="E37" s="6"/>
      <c r="F37" s="6"/>
      <c r="G37" s="6"/>
      <c r="H37" s="117"/>
      <c r="I37" s="118"/>
      <c r="J37" s="6"/>
      <c r="K37" s="6"/>
      <c r="L37" s="6"/>
      <c r="M37" s="6"/>
      <c r="N37" s="6">
        <f>SUM(D37:M37)</f>
        <v>0</v>
      </c>
    </row>
    <row r="38" spans="1:14" ht="13.5" customHeight="1">
      <c r="A38" s="75"/>
      <c r="B38" s="77"/>
      <c r="C38" s="81"/>
      <c r="D38" s="9"/>
      <c r="E38" s="9"/>
      <c r="F38" s="9"/>
      <c r="G38" s="9"/>
      <c r="H38" s="9"/>
      <c r="I38" s="46"/>
      <c r="J38" s="9"/>
      <c r="K38" s="9"/>
      <c r="L38" s="9"/>
      <c r="M38" s="9"/>
      <c r="N38" s="9">
        <f>SUM(D38:M38)</f>
        <v>0</v>
      </c>
    </row>
    <row r="39" spans="1:14" ht="13.5" customHeight="1">
      <c r="A39" s="74" t="s">
        <v>22</v>
      </c>
      <c r="B39" s="76">
        <v>27</v>
      </c>
      <c r="C39" s="80">
        <v>5</v>
      </c>
      <c r="D39" s="6">
        <v>8</v>
      </c>
      <c r="E39" s="6">
        <v>0</v>
      </c>
      <c r="F39" s="6">
        <v>1</v>
      </c>
      <c r="G39" s="6">
        <v>0</v>
      </c>
      <c r="H39" s="115">
        <v>0</v>
      </c>
      <c r="I39" s="116"/>
      <c r="J39" s="6">
        <v>15</v>
      </c>
      <c r="K39" s="6">
        <v>181</v>
      </c>
      <c r="L39" s="6">
        <v>1</v>
      </c>
      <c r="M39" s="6">
        <v>0</v>
      </c>
      <c r="N39" s="6">
        <f t="shared" si="4"/>
        <v>206</v>
      </c>
    </row>
    <row r="40" spans="1:14" ht="13.5" customHeight="1">
      <c r="A40" s="75"/>
      <c r="B40" s="77"/>
      <c r="C40" s="81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27</v>
      </c>
      <c r="L40" s="9">
        <v>0</v>
      </c>
      <c r="M40" s="9">
        <v>0</v>
      </c>
      <c r="N40" s="9">
        <f t="shared" si="4"/>
        <v>27</v>
      </c>
    </row>
    <row r="41" spans="1:14" ht="13.5" customHeight="1">
      <c r="A41" s="74" t="s">
        <v>28</v>
      </c>
      <c r="B41" s="76">
        <v>121</v>
      </c>
      <c r="C41" s="80">
        <v>5</v>
      </c>
      <c r="D41" s="6">
        <v>1</v>
      </c>
      <c r="E41" s="6">
        <v>0</v>
      </c>
      <c r="F41" s="6">
        <v>0</v>
      </c>
      <c r="G41" s="6">
        <v>0</v>
      </c>
      <c r="H41" s="115">
        <v>270</v>
      </c>
      <c r="I41" s="116"/>
      <c r="J41" s="6">
        <v>86</v>
      </c>
      <c r="K41" s="6">
        <v>1312</v>
      </c>
      <c r="L41" s="6">
        <v>160</v>
      </c>
      <c r="M41" s="6">
        <v>0</v>
      </c>
      <c r="N41" s="6">
        <f t="shared" si="4"/>
        <v>1829</v>
      </c>
    </row>
    <row r="42" spans="1:14" ht="13.5" customHeight="1">
      <c r="A42" s="75"/>
      <c r="B42" s="77"/>
      <c r="C42" s="81"/>
      <c r="D42" s="9">
        <v>1</v>
      </c>
      <c r="E42" s="9">
        <v>0</v>
      </c>
      <c r="F42" s="9">
        <v>0</v>
      </c>
      <c r="G42" s="9">
        <v>0</v>
      </c>
      <c r="H42" s="9">
        <v>45</v>
      </c>
      <c r="I42" s="9">
        <v>51</v>
      </c>
      <c r="J42" s="9">
        <v>93</v>
      </c>
      <c r="K42" s="9">
        <v>304</v>
      </c>
      <c r="L42" s="9">
        <v>0</v>
      </c>
      <c r="M42" s="9">
        <v>0</v>
      </c>
      <c r="N42" s="9">
        <f t="shared" si="4"/>
        <v>494</v>
      </c>
    </row>
    <row r="43" spans="1:14" ht="13.5" customHeight="1">
      <c r="A43" s="74" t="s">
        <v>18</v>
      </c>
      <c r="B43" s="76">
        <v>148</v>
      </c>
      <c r="C43" s="80">
        <v>8</v>
      </c>
      <c r="D43" s="6">
        <v>39</v>
      </c>
      <c r="E43" s="6">
        <v>0</v>
      </c>
      <c r="F43" s="6">
        <v>0</v>
      </c>
      <c r="G43" s="6">
        <v>137</v>
      </c>
      <c r="H43" s="115">
        <v>0</v>
      </c>
      <c r="I43" s="116"/>
      <c r="J43" s="6">
        <v>95</v>
      </c>
      <c r="K43" s="6">
        <v>1486</v>
      </c>
      <c r="L43" s="6">
        <v>0</v>
      </c>
      <c r="M43" s="6">
        <v>0</v>
      </c>
      <c r="N43" s="6">
        <f t="shared" si="4"/>
        <v>1757</v>
      </c>
    </row>
    <row r="44" spans="1:14" ht="13.5" customHeight="1">
      <c r="A44" s="75"/>
      <c r="B44" s="77"/>
      <c r="C44" s="81"/>
      <c r="D44" s="9">
        <v>24</v>
      </c>
      <c r="E44" s="9">
        <v>0</v>
      </c>
      <c r="F44" s="9">
        <v>0</v>
      </c>
      <c r="G44" s="9">
        <v>29</v>
      </c>
      <c r="H44" s="9">
        <v>0</v>
      </c>
      <c r="I44" s="9">
        <v>0</v>
      </c>
      <c r="J44" s="9">
        <v>20</v>
      </c>
      <c r="K44" s="9">
        <v>251</v>
      </c>
      <c r="L44" s="9">
        <v>0</v>
      </c>
      <c r="M44" s="9">
        <v>0</v>
      </c>
      <c r="N44" s="9">
        <f t="shared" si="4"/>
        <v>324</v>
      </c>
    </row>
    <row r="45" spans="1:14" ht="13.5" customHeight="1">
      <c r="A45" s="74" t="s">
        <v>27</v>
      </c>
      <c r="B45" s="76">
        <v>183</v>
      </c>
      <c r="C45" s="80">
        <v>9</v>
      </c>
      <c r="D45" s="6">
        <v>89</v>
      </c>
      <c r="E45" s="6">
        <v>0</v>
      </c>
      <c r="F45" s="6">
        <v>0</v>
      </c>
      <c r="G45" s="6">
        <v>20</v>
      </c>
      <c r="H45" s="115">
        <v>119</v>
      </c>
      <c r="I45" s="116"/>
      <c r="J45" s="6">
        <v>187</v>
      </c>
      <c r="K45" s="6">
        <v>843</v>
      </c>
      <c r="L45" s="6">
        <v>10</v>
      </c>
      <c r="M45" s="6">
        <v>0</v>
      </c>
      <c r="N45" s="6">
        <f t="shared" si="4"/>
        <v>1268</v>
      </c>
    </row>
    <row r="46" spans="1:14" ht="13.5" customHeight="1">
      <c r="A46" s="75"/>
      <c r="B46" s="77"/>
      <c r="C46" s="81"/>
      <c r="D46" s="9">
        <v>45</v>
      </c>
      <c r="E46" s="9">
        <v>0</v>
      </c>
      <c r="F46" s="9">
        <v>0</v>
      </c>
      <c r="G46" s="9">
        <v>3</v>
      </c>
      <c r="H46" s="9">
        <v>29</v>
      </c>
      <c r="I46" s="9">
        <v>11</v>
      </c>
      <c r="J46" s="9">
        <v>69</v>
      </c>
      <c r="K46" s="9">
        <v>35</v>
      </c>
      <c r="L46" s="9">
        <v>3</v>
      </c>
      <c r="M46" s="9">
        <v>0</v>
      </c>
      <c r="N46" s="9">
        <f t="shared" si="4"/>
        <v>195</v>
      </c>
    </row>
    <row r="47" spans="1:14" ht="13.5" customHeight="1">
      <c r="A47" s="74" t="s">
        <v>19</v>
      </c>
      <c r="B47" s="76">
        <v>116</v>
      </c>
      <c r="C47" s="80">
        <v>6</v>
      </c>
      <c r="D47" s="6">
        <v>10</v>
      </c>
      <c r="E47" s="6">
        <v>0</v>
      </c>
      <c r="F47" s="6">
        <v>42</v>
      </c>
      <c r="G47" s="6">
        <v>0</v>
      </c>
      <c r="H47" s="115">
        <v>372</v>
      </c>
      <c r="I47" s="116"/>
      <c r="J47" s="6">
        <v>94</v>
      </c>
      <c r="K47" s="6">
        <v>1301</v>
      </c>
      <c r="L47" s="6">
        <v>9</v>
      </c>
      <c r="M47" s="6">
        <v>0</v>
      </c>
      <c r="N47" s="6">
        <f t="shared" si="4"/>
        <v>1828</v>
      </c>
    </row>
    <row r="48" spans="1:14" ht="13.5" customHeight="1">
      <c r="A48" s="75"/>
      <c r="B48" s="77"/>
      <c r="C48" s="81"/>
      <c r="D48" s="9">
        <v>10</v>
      </c>
      <c r="E48" s="9">
        <v>0</v>
      </c>
      <c r="F48" s="9">
        <v>8</v>
      </c>
      <c r="G48" s="9">
        <v>0</v>
      </c>
      <c r="H48" s="9">
        <v>25</v>
      </c>
      <c r="I48" s="9">
        <v>53</v>
      </c>
      <c r="J48" s="9">
        <v>54</v>
      </c>
      <c r="K48" s="9">
        <v>264</v>
      </c>
      <c r="L48" s="9">
        <v>4</v>
      </c>
      <c r="M48" s="9">
        <v>0</v>
      </c>
      <c r="N48" s="9">
        <f t="shared" si="4"/>
        <v>418</v>
      </c>
    </row>
    <row r="49" spans="1:14" ht="13.5" customHeight="1">
      <c r="A49" s="74" t="s">
        <v>88</v>
      </c>
      <c r="B49" s="76"/>
      <c r="C49" s="80"/>
      <c r="D49" s="6"/>
      <c r="E49" s="6"/>
      <c r="F49" s="6"/>
      <c r="G49" s="6"/>
      <c r="H49" s="115"/>
      <c r="I49" s="119"/>
      <c r="J49" s="6"/>
      <c r="K49" s="6"/>
      <c r="L49" s="6"/>
      <c r="M49" s="6"/>
      <c r="N49" s="6">
        <f t="shared" si="4"/>
        <v>0</v>
      </c>
    </row>
    <row r="50" spans="1:14" ht="13.5" customHeight="1">
      <c r="A50" s="75"/>
      <c r="B50" s="77"/>
      <c r="C50" s="81"/>
      <c r="D50" s="9"/>
      <c r="E50" s="9"/>
      <c r="F50" s="9"/>
      <c r="G50" s="9"/>
      <c r="H50" s="9"/>
      <c r="I50" s="46"/>
      <c r="J50" s="9"/>
      <c r="K50" s="9"/>
      <c r="L50" s="9"/>
      <c r="M50" s="9"/>
      <c r="N50" s="9">
        <f t="shared" si="4"/>
        <v>0</v>
      </c>
    </row>
    <row r="51" spans="1:14" ht="13.5" customHeight="1">
      <c r="A51" s="74" t="s">
        <v>89</v>
      </c>
      <c r="B51" s="76"/>
      <c r="C51" s="80"/>
      <c r="D51" s="6"/>
      <c r="E51" s="6"/>
      <c r="F51" s="6"/>
      <c r="G51" s="6"/>
      <c r="H51" s="115"/>
      <c r="I51" s="119"/>
      <c r="J51" s="6"/>
      <c r="K51" s="6"/>
      <c r="L51" s="6"/>
      <c r="M51" s="6"/>
      <c r="N51" s="6">
        <f t="shared" si="4"/>
        <v>0</v>
      </c>
    </row>
    <row r="52" spans="1:14" ht="13.5" customHeight="1">
      <c r="A52" s="75"/>
      <c r="B52" s="77"/>
      <c r="C52" s="81"/>
      <c r="D52" s="9"/>
      <c r="E52" s="9"/>
      <c r="F52" s="9"/>
      <c r="G52" s="9"/>
      <c r="H52" s="9"/>
      <c r="I52" s="46"/>
      <c r="J52" s="9"/>
      <c r="K52" s="9"/>
      <c r="L52" s="9"/>
      <c r="M52" s="9"/>
      <c r="N52" s="9">
        <f t="shared" si="4"/>
        <v>0</v>
      </c>
    </row>
    <row r="53" spans="1:14" ht="13.5" customHeight="1">
      <c r="A53" s="74" t="s">
        <v>90</v>
      </c>
      <c r="B53" s="76"/>
      <c r="C53" s="80"/>
      <c r="D53" s="6"/>
      <c r="E53" s="6"/>
      <c r="F53" s="6"/>
      <c r="G53" s="6"/>
      <c r="H53" s="115"/>
      <c r="I53" s="119"/>
      <c r="J53" s="6"/>
      <c r="K53" s="6"/>
      <c r="L53" s="6"/>
      <c r="M53" s="6"/>
      <c r="N53" s="6">
        <f t="shared" si="4"/>
        <v>0</v>
      </c>
    </row>
    <row r="54" spans="1:14" ht="13.5" customHeight="1">
      <c r="A54" s="75"/>
      <c r="B54" s="77"/>
      <c r="C54" s="81"/>
      <c r="D54" s="9"/>
      <c r="E54" s="9"/>
      <c r="F54" s="9"/>
      <c r="G54" s="9"/>
      <c r="H54" s="9"/>
      <c r="I54" s="46"/>
      <c r="J54" s="9"/>
      <c r="K54" s="9"/>
      <c r="L54" s="9"/>
      <c r="M54" s="9"/>
      <c r="N54" s="9">
        <f t="shared" si="4"/>
        <v>0</v>
      </c>
    </row>
    <row r="55" spans="1:14" ht="13.5" customHeight="1">
      <c r="A55" s="74" t="s">
        <v>26</v>
      </c>
      <c r="B55" s="76">
        <f>SUM(B33:B54)</f>
        <v>727</v>
      </c>
      <c r="C55" s="80">
        <f>SUM(C33:C54)</f>
        <v>49</v>
      </c>
      <c r="D55" s="7">
        <f>D33+D35+D37+D39+D41+D43+D45+D47+D49+D51+D53</f>
        <v>163</v>
      </c>
      <c r="E55" s="7">
        <f>E33+E35+E37+E39+E41+E43+E45+E47+E49+E51+E53</f>
        <v>0</v>
      </c>
      <c r="F55" s="7">
        <f>F33+F35+F37+F39+F41+F43+F45+F47+F49+F51+F53</f>
        <v>58</v>
      </c>
      <c r="G55" s="7">
        <f>G33+G35+G37+G39+G41+G43+G45+G47+G49+G51+G53</f>
        <v>237</v>
      </c>
      <c r="H55" s="7">
        <f aca="true" t="shared" si="5" ref="H55:N55">H33+H35+H37+H39+H41+H43+H45+H47+H49+H51+H53</f>
        <v>816</v>
      </c>
      <c r="I55" s="7">
        <f t="shared" si="5"/>
        <v>0</v>
      </c>
      <c r="J55" s="7">
        <f t="shared" si="5"/>
        <v>572</v>
      </c>
      <c r="K55" s="7">
        <f t="shared" si="5"/>
        <v>6277</v>
      </c>
      <c r="L55" s="7">
        <f t="shared" si="5"/>
        <v>275</v>
      </c>
      <c r="M55" s="7">
        <f t="shared" si="5"/>
        <v>270</v>
      </c>
      <c r="N55" s="7">
        <f t="shared" si="5"/>
        <v>8668</v>
      </c>
    </row>
    <row r="56" spans="1:14" ht="13.5" customHeight="1">
      <c r="A56" s="75"/>
      <c r="B56" s="77"/>
      <c r="C56" s="81"/>
      <c r="D56" s="8">
        <f>D34+D36+D38+D40+D42+D44+D46+D48+D50+D52+D54</f>
        <v>85</v>
      </c>
      <c r="E56" s="8">
        <f aca="true" t="shared" si="6" ref="E56:M56">E34+E36+E38+E40+E42+E44+E46+E48+E50+E52+E54</f>
        <v>0</v>
      </c>
      <c r="F56" s="8">
        <f t="shared" si="6"/>
        <v>13</v>
      </c>
      <c r="G56" s="8">
        <f t="shared" si="6"/>
        <v>32</v>
      </c>
      <c r="H56" s="8">
        <f t="shared" si="6"/>
        <v>103</v>
      </c>
      <c r="I56" s="8">
        <f t="shared" si="6"/>
        <v>116</v>
      </c>
      <c r="J56" s="8">
        <f t="shared" si="6"/>
        <v>327</v>
      </c>
      <c r="K56" s="8">
        <f t="shared" si="6"/>
        <v>1123</v>
      </c>
      <c r="L56" s="8">
        <f t="shared" si="6"/>
        <v>38</v>
      </c>
      <c r="M56" s="8">
        <f t="shared" si="6"/>
        <v>153</v>
      </c>
      <c r="N56" s="8">
        <f>SUM(D56:M56)</f>
        <v>1990</v>
      </c>
    </row>
  </sheetData>
  <sheetProtection/>
  <mergeCells count="89">
    <mergeCell ref="H41:I41"/>
    <mergeCell ref="H43:I43"/>
    <mergeCell ref="H53:I53"/>
    <mergeCell ref="H45:I45"/>
    <mergeCell ref="H47:I47"/>
    <mergeCell ref="H49:I49"/>
    <mergeCell ref="H51:I51"/>
    <mergeCell ref="B13:B14"/>
    <mergeCell ref="H33:I33"/>
    <mergeCell ref="H35:I35"/>
    <mergeCell ref="B15:B16"/>
    <mergeCell ref="H37:I37"/>
    <mergeCell ref="C19:C20"/>
    <mergeCell ref="H39:I39"/>
    <mergeCell ref="C39:C40"/>
    <mergeCell ref="C33:C34"/>
    <mergeCell ref="B3:B4"/>
    <mergeCell ref="B31:B32"/>
    <mergeCell ref="B27:B28"/>
    <mergeCell ref="B19:B20"/>
    <mergeCell ref="B17:B18"/>
    <mergeCell ref="B11:B12"/>
    <mergeCell ref="B7:B8"/>
    <mergeCell ref="B5:B6"/>
    <mergeCell ref="B9:B10"/>
    <mergeCell ref="C55:C56"/>
    <mergeCell ref="C47:C48"/>
    <mergeCell ref="C45:C46"/>
    <mergeCell ref="C43:C44"/>
    <mergeCell ref="C41:C42"/>
    <mergeCell ref="C35:C36"/>
    <mergeCell ref="C53:C54"/>
    <mergeCell ref="C49:C50"/>
    <mergeCell ref="B55:B56"/>
    <mergeCell ref="A3:A4"/>
    <mergeCell ref="A31:A32"/>
    <mergeCell ref="A7:A8"/>
    <mergeCell ref="A5:A6"/>
    <mergeCell ref="A17:A18"/>
    <mergeCell ref="A11:A12"/>
    <mergeCell ref="A13:A14"/>
    <mergeCell ref="A15:A16"/>
    <mergeCell ref="A19:A20"/>
    <mergeCell ref="A9:A10"/>
    <mergeCell ref="B53:B54"/>
    <mergeCell ref="B35:B36"/>
    <mergeCell ref="B49:B50"/>
    <mergeCell ref="A47:A48"/>
    <mergeCell ref="B51:B52"/>
    <mergeCell ref="B47:B48"/>
    <mergeCell ref="B45:B46"/>
    <mergeCell ref="B43:B44"/>
    <mergeCell ref="B41:B42"/>
    <mergeCell ref="B39:B40"/>
    <mergeCell ref="A55:A56"/>
    <mergeCell ref="A27:A28"/>
    <mergeCell ref="A35:A36"/>
    <mergeCell ref="A45:A46"/>
    <mergeCell ref="A39:A40"/>
    <mergeCell ref="A41:A42"/>
    <mergeCell ref="A53:A54"/>
    <mergeCell ref="A43:A44"/>
    <mergeCell ref="A49:A50"/>
    <mergeCell ref="D3:N3"/>
    <mergeCell ref="D31:N31"/>
    <mergeCell ref="C7:C8"/>
    <mergeCell ref="C5:C6"/>
    <mergeCell ref="C15:C16"/>
    <mergeCell ref="C13:C14"/>
    <mergeCell ref="C11:C12"/>
    <mergeCell ref="C9:C10"/>
    <mergeCell ref="C27:C28"/>
    <mergeCell ref="C17:C18"/>
    <mergeCell ref="A21:A22"/>
    <mergeCell ref="B21:B22"/>
    <mergeCell ref="C21:C22"/>
    <mergeCell ref="A23:A24"/>
    <mergeCell ref="B23:B24"/>
    <mergeCell ref="C23:C24"/>
    <mergeCell ref="C51:C52"/>
    <mergeCell ref="A25:A26"/>
    <mergeCell ref="B25:B26"/>
    <mergeCell ref="C25:C26"/>
    <mergeCell ref="A37:A38"/>
    <mergeCell ref="B37:B38"/>
    <mergeCell ref="C37:C38"/>
    <mergeCell ref="A33:A34"/>
    <mergeCell ref="B33:B34"/>
    <mergeCell ref="A51:A52"/>
  </mergeCells>
  <printOptions/>
  <pageMargins left="1.1811023622047245" right="0.7874015748031497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75" zoomScaleNormal="75" zoomScalePageLayoutView="0" workbookViewId="0" topLeftCell="A1">
      <selection activeCell="B56" sqref="B56"/>
    </sheetView>
  </sheetViews>
  <sheetFormatPr defaultColWidth="9.00390625" defaultRowHeight="23.25" customHeight="1"/>
  <cols>
    <col min="1" max="1" width="9.375" style="0" customWidth="1"/>
    <col min="2" max="23" width="9.125" style="0" customWidth="1"/>
  </cols>
  <sheetData>
    <row r="1" ht="23.25" customHeight="1">
      <c r="A1" s="18" t="s">
        <v>170</v>
      </c>
    </row>
    <row r="2" ht="23.25" customHeight="1">
      <c r="A2" s="19" t="s">
        <v>37</v>
      </c>
    </row>
    <row r="3" spans="1:23" ht="23.25" customHeight="1">
      <c r="A3" s="99" t="s">
        <v>38</v>
      </c>
      <c r="B3" s="97" t="s">
        <v>79</v>
      </c>
      <c r="C3" s="98"/>
      <c r="D3" s="97" t="s">
        <v>80</v>
      </c>
      <c r="E3" s="98"/>
      <c r="F3" s="97" t="s">
        <v>81</v>
      </c>
      <c r="G3" s="98"/>
      <c r="H3" s="97" t="s">
        <v>39</v>
      </c>
      <c r="I3" s="98"/>
      <c r="J3" s="97" t="s">
        <v>40</v>
      </c>
      <c r="K3" s="98"/>
      <c r="L3" s="97" t="s">
        <v>82</v>
      </c>
      <c r="M3" s="98"/>
      <c r="N3" s="97" t="s">
        <v>83</v>
      </c>
      <c r="O3" s="98"/>
      <c r="P3" s="97" t="s">
        <v>84</v>
      </c>
      <c r="Q3" s="98"/>
      <c r="R3" s="97" t="s">
        <v>85</v>
      </c>
      <c r="S3" s="98"/>
      <c r="T3" s="97" t="s">
        <v>41</v>
      </c>
      <c r="U3" s="98"/>
      <c r="V3" s="43" t="s">
        <v>42</v>
      </c>
      <c r="W3" s="21"/>
    </row>
    <row r="4" spans="1:23" ht="23.25" customHeight="1">
      <c r="A4" s="100"/>
      <c r="B4" s="33"/>
      <c r="C4" s="34" t="s">
        <v>43</v>
      </c>
      <c r="D4" s="33"/>
      <c r="E4" s="34" t="s">
        <v>43</v>
      </c>
      <c r="F4" s="33"/>
      <c r="G4" s="34" t="s">
        <v>43</v>
      </c>
      <c r="H4" s="33"/>
      <c r="I4" s="34" t="s">
        <v>43</v>
      </c>
      <c r="J4" s="33"/>
      <c r="K4" s="34" t="s">
        <v>43</v>
      </c>
      <c r="L4" s="33"/>
      <c r="M4" s="34" t="s">
        <v>43</v>
      </c>
      <c r="N4" s="33"/>
      <c r="O4" s="34" t="s">
        <v>43</v>
      </c>
      <c r="P4" s="33"/>
      <c r="Q4" s="34" t="s">
        <v>43</v>
      </c>
      <c r="R4" s="24"/>
      <c r="S4" s="25" t="s">
        <v>43</v>
      </c>
      <c r="T4" s="33"/>
      <c r="U4" s="34" t="s">
        <v>44</v>
      </c>
      <c r="V4" s="26"/>
      <c r="W4" s="25" t="s">
        <v>43</v>
      </c>
    </row>
    <row r="5" spans="1:23" ht="23.25" customHeight="1">
      <c r="A5" s="27" t="s">
        <v>45</v>
      </c>
      <c r="B5" s="52">
        <v>1610</v>
      </c>
      <c r="C5" s="38">
        <f aca="true" t="shared" si="0" ref="C5:C22">IF(B4=0,"",B5/B4)</f>
      </c>
      <c r="D5" s="52">
        <v>0</v>
      </c>
      <c r="E5" s="38">
        <f aca="true" t="shared" si="1" ref="E5:E22">IF(D4=0,"",D5/D4)</f>
      </c>
      <c r="F5" s="52">
        <v>2937</v>
      </c>
      <c r="G5" s="38">
        <f aca="true" t="shared" si="2" ref="G5:G22">IF(F4=0,"",F5/F4)</f>
      </c>
      <c r="H5" s="52">
        <v>23657</v>
      </c>
      <c r="I5" s="38">
        <f aca="true" t="shared" si="3" ref="I5:I22">IF(H4=0,"",H5/H4)</f>
      </c>
      <c r="J5" s="52">
        <v>29424</v>
      </c>
      <c r="K5" s="38">
        <f aca="true" t="shared" si="4" ref="K5:M22">IF(J4=0,"",J5/J4)</f>
      </c>
      <c r="L5" s="52">
        <v>0</v>
      </c>
      <c r="M5" s="38">
        <f t="shared" si="4"/>
      </c>
      <c r="N5" s="52">
        <v>410</v>
      </c>
      <c r="O5" s="38">
        <f aca="true" t="shared" si="5" ref="O5:O22">IF(N4=0,"",N5/N4)</f>
      </c>
      <c r="P5" s="52">
        <v>50</v>
      </c>
      <c r="Q5" s="38">
        <f aca="true" t="shared" si="6" ref="Q5:Q22">IF(P4=0,"",P5/P4)</f>
      </c>
      <c r="R5" s="52">
        <v>0</v>
      </c>
      <c r="S5" s="28">
        <f aca="true" t="shared" si="7" ref="S5:S22">IF(R4=0,"",R5/R4)</f>
      </c>
      <c r="T5" s="52">
        <v>0</v>
      </c>
      <c r="U5" s="38">
        <f aca="true" t="shared" si="8" ref="U5:U22">IF(T4=0,"",T5/T4)</f>
      </c>
      <c r="V5" s="52">
        <v>58088</v>
      </c>
      <c r="W5" s="29">
        <f aca="true" t="shared" si="9" ref="W5:W22">IF(V4=0,"",V5/V4)</f>
      </c>
    </row>
    <row r="6" spans="1:23" ht="23.25" customHeight="1">
      <c r="A6" s="27" t="s">
        <v>46</v>
      </c>
      <c r="B6" s="52">
        <v>1507</v>
      </c>
      <c r="C6" s="40">
        <f t="shared" si="0"/>
        <v>0.9360248447204969</v>
      </c>
      <c r="D6" s="52">
        <v>0</v>
      </c>
      <c r="E6" s="40">
        <f t="shared" si="1"/>
      </c>
      <c r="F6" s="52">
        <v>735</v>
      </c>
      <c r="G6" s="40">
        <f t="shared" si="2"/>
        <v>0.25025536261491316</v>
      </c>
      <c r="H6" s="52">
        <v>5579</v>
      </c>
      <c r="I6" s="40">
        <f t="shared" si="3"/>
        <v>0.23582871877245634</v>
      </c>
      <c r="J6" s="52">
        <v>10269</v>
      </c>
      <c r="K6" s="40">
        <f t="shared" si="4"/>
        <v>0.34900081566068514</v>
      </c>
      <c r="L6" s="52">
        <v>5673</v>
      </c>
      <c r="M6" s="40">
        <f t="shared" si="4"/>
      </c>
      <c r="N6" s="52">
        <v>0</v>
      </c>
      <c r="O6" s="40">
        <f t="shared" si="5"/>
        <v>0</v>
      </c>
      <c r="P6" s="52">
        <v>8</v>
      </c>
      <c r="Q6" s="40">
        <f t="shared" si="6"/>
        <v>0.16</v>
      </c>
      <c r="R6" s="52">
        <v>0</v>
      </c>
      <c r="S6" s="28">
        <f t="shared" si="7"/>
      </c>
      <c r="T6" s="52">
        <v>0</v>
      </c>
      <c r="U6" s="40">
        <f t="shared" si="8"/>
      </c>
      <c r="V6" s="52">
        <v>23771</v>
      </c>
      <c r="W6" s="31">
        <f t="shared" si="9"/>
        <v>0.40922393609695634</v>
      </c>
    </row>
    <row r="7" spans="1:23" ht="23.25" customHeight="1">
      <c r="A7" s="27" t="s">
        <v>47</v>
      </c>
      <c r="B7" s="52">
        <v>581</v>
      </c>
      <c r="C7" s="40">
        <f t="shared" si="0"/>
        <v>0.3855341738553417</v>
      </c>
      <c r="D7" s="52">
        <v>5</v>
      </c>
      <c r="E7" s="40">
        <f t="shared" si="1"/>
      </c>
      <c r="F7" s="52">
        <v>873</v>
      </c>
      <c r="G7" s="40">
        <f t="shared" si="2"/>
        <v>1.1877551020408164</v>
      </c>
      <c r="H7" s="52">
        <v>4944</v>
      </c>
      <c r="I7" s="40">
        <f t="shared" si="3"/>
        <v>0.8861803190535938</v>
      </c>
      <c r="J7" s="52">
        <v>8462</v>
      </c>
      <c r="K7" s="40">
        <f t="shared" si="4"/>
        <v>0.8240334988801247</v>
      </c>
      <c r="L7" s="52">
        <v>5323</v>
      </c>
      <c r="M7" s="40">
        <f t="shared" si="4"/>
        <v>0.9383042481931958</v>
      </c>
      <c r="N7" s="52">
        <v>54</v>
      </c>
      <c r="O7" s="40">
        <f t="shared" si="5"/>
      </c>
      <c r="P7" s="52">
        <v>0</v>
      </c>
      <c r="Q7" s="40">
        <f t="shared" si="6"/>
        <v>0</v>
      </c>
      <c r="R7" s="52">
        <v>0</v>
      </c>
      <c r="S7" s="28">
        <f t="shared" si="7"/>
      </c>
      <c r="T7" s="52">
        <v>0</v>
      </c>
      <c r="U7" s="40">
        <f t="shared" si="8"/>
      </c>
      <c r="V7" s="52">
        <v>20242</v>
      </c>
      <c r="W7" s="31">
        <f t="shared" si="9"/>
        <v>0.8515417946237012</v>
      </c>
    </row>
    <row r="8" spans="1:23" ht="23.25" customHeight="1">
      <c r="A8" s="27" t="s">
        <v>48</v>
      </c>
      <c r="B8" s="52">
        <v>668</v>
      </c>
      <c r="C8" s="40">
        <f t="shared" si="0"/>
        <v>1.1497418244406197</v>
      </c>
      <c r="D8" s="52">
        <v>309</v>
      </c>
      <c r="E8" s="41">
        <f t="shared" si="1"/>
        <v>61.8</v>
      </c>
      <c r="F8" s="52">
        <v>921</v>
      </c>
      <c r="G8" s="40">
        <f t="shared" si="2"/>
        <v>1.0549828178694158</v>
      </c>
      <c r="H8" s="52">
        <v>4881</v>
      </c>
      <c r="I8" s="40">
        <f t="shared" si="3"/>
        <v>0.9872572815533981</v>
      </c>
      <c r="J8" s="52">
        <v>7010</v>
      </c>
      <c r="K8" s="40">
        <f t="shared" si="4"/>
        <v>0.8284093594894824</v>
      </c>
      <c r="L8" s="52">
        <v>3863</v>
      </c>
      <c r="M8" s="40">
        <f t="shared" si="4"/>
        <v>0.7257185797482623</v>
      </c>
      <c r="N8" s="52">
        <v>50</v>
      </c>
      <c r="O8" s="40">
        <f t="shared" si="5"/>
        <v>0.9259259259259259</v>
      </c>
      <c r="P8" s="52">
        <v>0</v>
      </c>
      <c r="Q8" s="40">
        <f t="shared" si="6"/>
      </c>
      <c r="R8" s="52">
        <v>1</v>
      </c>
      <c r="S8" s="28">
        <f t="shared" si="7"/>
      </c>
      <c r="T8" s="52">
        <v>0</v>
      </c>
      <c r="U8" s="40">
        <f t="shared" si="8"/>
      </c>
      <c r="V8" s="52">
        <v>17703</v>
      </c>
      <c r="W8" s="31">
        <f t="shared" si="9"/>
        <v>0.8745677304614169</v>
      </c>
    </row>
    <row r="9" spans="1:23" ht="23.25" customHeight="1">
      <c r="A9" s="27" t="s">
        <v>49</v>
      </c>
      <c r="B9" s="52">
        <v>792</v>
      </c>
      <c r="C9" s="40">
        <f t="shared" si="0"/>
        <v>1.18562874251497</v>
      </c>
      <c r="D9" s="52">
        <v>556</v>
      </c>
      <c r="E9" s="40">
        <f t="shared" si="1"/>
        <v>1.7993527508090614</v>
      </c>
      <c r="F9" s="52">
        <v>891</v>
      </c>
      <c r="G9" s="40">
        <f t="shared" si="2"/>
        <v>0.9674267100977199</v>
      </c>
      <c r="H9" s="52">
        <v>5439</v>
      </c>
      <c r="I9" s="40">
        <f t="shared" si="3"/>
        <v>1.114320835894284</v>
      </c>
      <c r="J9" s="52">
        <v>6766</v>
      </c>
      <c r="K9" s="40">
        <f t="shared" si="4"/>
        <v>0.9651925820256776</v>
      </c>
      <c r="L9" s="52">
        <v>5613</v>
      </c>
      <c r="M9" s="40">
        <f t="shared" si="4"/>
        <v>1.4530157908361376</v>
      </c>
      <c r="N9" s="52">
        <v>157</v>
      </c>
      <c r="O9" s="40">
        <f t="shared" si="5"/>
        <v>3.14</v>
      </c>
      <c r="P9" s="52">
        <v>0</v>
      </c>
      <c r="Q9" s="40">
        <f t="shared" si="6"/>
      </c>
      <c r="R9" s="52">
        <v>0</v>
      </c>
      <c r="S9" s="28">
        <f t="shared" si="7"/>
        <v>0</v>
      </c>
      <c r="T9" s="52">
        <v>0</v>
      </c>
      <c r="U9" s="40">
        <f t="shared" si="8"/>
      </c>
      <c r="V9" s="52">
        <v>20214</v>
      </c>
      <c r="W9" s="31">
        <f t="shared" si="9"/>
        <v>1.1418403660396543</v>
      </c>
    </row>
    <row r="10" spans="1:23" ht="23.25" customHeight="1">
      <c r="A10" s="27" t="s">
        <v>50</v>
      </c>
      <c r="B10" s="52">
        <v>1040</v>
      </c>
      <c r="C10" s="40">
        <f t="shared" si="0"/>
        <v>1.3131313131313131</v>
      </c>
      <c r="D10" s="52">
        <v>821</v>
      </c>
      <c r="E10" s="40">
        <f t="shared" si="1"/>
        <v>1.4766187050359711</v>
      </c>
      <c r="F10" s="52">
        <v>976</v>
      </c>
      <c r="G10" s="40">
        <f t="shared" si="2"/>
        <v>1.095398428731762</v>
      </c>
      <c r="H10" s="52">
        <v>6148</v>
      </c>
      <c r="I10" s="40">
        <f t="shared" si="3"/>
        <v>1.130354844640559</v>
      </c>
      <c r="J10" s="52">
        <v>9455</v>
      </c>
      <c r="K10" s="40">
        <f t="shared" si="4"/>
        <v>1.3974283180608926</v>
      </c>
      <c r="L10" s="52">
        <v>4687</v>
      </c>
      <c r="M10" s="40">
        <f t="shared" si="4"/>
        <v>0.8350258328879387</v>
      </c>
      <c r="N10" s="52">
        <v>119</v>
      </c>
      <c r="O10" s="40">
        <f t="shared" si="5"/>
        <v>0.7579617834394905</v>
      </c>
      <c r="P10" s="52">
        <v>0</v>
      </c>
      <c r="Q10" s="40">
        <f t="shared" si="6"/>
      </c>
      <c r="R10" s="52">
        <v>0</v>
      </c>
      <c r="S10" s="28">
        <f t="shared" si="7"/>
      </c>
      <c r="T10" s="52">
        <v>0</v>
      </c>
      <c r="U10" s="40">
        <f t="shared" si="8"/>
      </c>
      <c r="V10" s="52">
        <v>23246</v>
      </c>
      <c r="W10" s="31">
        <f t="shared" si="9"/>
        <v>1.1499950529336103</v>
      </c>
    </row>
    <row r="11" spans="1:23" ht="23.25" customHeight="1">
      <c r="A11" s="27" t="s">
        <v>51</v>
      </c>
      <c r="B11" s="52">
        <v>1050</v>
      </c>
      <c r="C11" s="40">
        <f t="shared" si="0"/>
        <v>1.0096153846153846</v>
      </c>
      <c r="D11" s="52">
        <v>1233</v>
      </c>
      <c r="E11" s="40">
        <f t="shared" si="1"/>
        <v>1.5018270401948843</v>
      </c>
      <c r="F11" s="52">
        <v>642</v>
      </c>
      <c r="G11" s="40">
        <f t="shared" si="2"/>
        <v>0.6577868852459017</v>
      </c>
      <c r="H11" s="52">
        <v>5391</v>
      </c>
      <c r="I11" s="40">
        <f t="shared" si="3"/>
        <v>0.8768705270006506</v>
      </c>
      <c r="J11" s="52">
        <v>9565</v>
      </c>
      <c r="K11" s="40">
        <f t="shared" si="4"/>
        <v>1.0116340560549975</v>
      </c>
      <c r="L11" s="52">
        <v>3000</v>
      </c>
      <c r="M11" s="40">
        <f t="shared" si="4"/>
        <v>0.6400682739492213</v>
      </c>
      <c r="N11" s="52">
        <v>66</v>
      </c>
      <c r="O11" s="40">
        <f t="shared" si="5"/>
        <v>0.5546218487394958</v>
      </c>
      <c r="P11" s="52">
        <v>0</v>
      </c>
      <c r="Q11" s="40">
        <f t="shared" si="6"/>
      </c>
      <c r="R11" s="52">
        <v>0</v>
      </c>
      <c r="S11" s="28">
        <f t="shared" si="7"/>
      </c>
      <c r="T11" s="52">
        <v>0</v>
      </c>
      <c r="U11" s="40">
        <f t="shared" si="8"/>
      </c>
      <c r="V11" s="52">
        <v>20947</v>
      </c>
      <c r="W11" s="31">
        <f t="shared" si="9"/>
        <v>0.9011012647337177</v>
      </c>
    </row>
    <row r="12" spans="1:23" ht="23.25" customHeight="1">
      <c r="A12" s="27" t="s">
        <v>52</v>
      </c>
      <c r="B12" s="52">
        <v>959</v>
      </c>
      <c r="C12" s="40">
        <f t="shared" si="0"/>
        <v>0.9133333333333333</v>
      </c>
      <c r="D12" s="52">
        <v>941</v>
      </c>
      <c r="E12" s="40">
        <f t="shared" si="1"/>
        <v>0.7631792376317924</v>
      </c>
      <c r="F12" s="52">
        <v>633</v>
      </c>
      <c r="G12" s="40">
        <f t="shared" si="2"/>
        <v>0.985981308411215</v>
      </c>
      <c r="H12" s="52">
        <v>6024</v>
      </c>
      <c r="I12" s="40">
        <f t="shared" si="3"/>
        <v>1.117417918753478</v>
      </c>
      <c r="J12" s="52">
        <v>8005</v>
      </c>
      <c r="K12" s="40">
        <f t="shared" si="4"/>
        <v>0.8369053842132775</v>
      </c>
      <c r="L12" s="52">
        <v>2712</v>
      </c>
      <c r="M12" s="40">
        <f t="shared" si="4"/>
        <v>0.904</v>
      </c>
      <c r="N12" s="52">
        <v>133</v>
      </c>
      <c r="O12" s="40">
        <f t="shared" si="5"/>
        <v>2.015151515151515</v>
      </c>
      <c r="P12" s="52">
        <v>0</v>
      </c>
      <c r="Q12" s="40">
        <f t="shared" si="6"/>
      </c>
      <c r="R12" s="52">
        <v>0</v>
      </c>
      <c r="S12" s="28">
        <f t="shared" si="7"/>
      </c>
      <c r="T12" s="52">
        <v>0</v>
      </c>
      <c r="U12" s="40">
        <f t="shared" si="8"/>
      </c>
      <c r="V12" s="52">
        <v>19407</v>
      </c>
      <c r="W12" s="30">
        <f t="shared" si="9"/>
        <v>0.926481119014656</v>
      </c>
    </row>
    <row r="13" spans="1:23" ht="23.25" customHeight="1">
      <c r="A13" s="27" t="s">
        <v>53</v>
      </c>
      <c r="B13" s="52">
        <v>674</v>
      </c>
      <c r="C13" s="40">
        <f t="shared" si="0"/>
        <v>0.7028154327424401</v>
      </c>
      <c r="D13" s="52">
        <v>685</v>
      </c>
      <c r="E13" s="40">
        <f t="shared" si="1"/>
        <v>0.7279489904357067</v>
      </c>
      <c r="F13" s="52">
        <v>655</v>
      </c>
      <c r="G13" s="40">
        <f t="shared" si="2"/>
        <v>1.0347551342812007</v>
      </c>
      <c r="H13" s="52">
        <v>5769</v>
      </c>
      <c r="I13" s="40">
        <f t="shared" si="3"/>
        <v>0.9576693227091634</v>
      </c>
      <c r="J13" s="52">
        <v>7157</v>
      </c>
      <c r="K13" s="40">
        <f t="shared" si="4"/>
        <v>0.8940662086196127</v>
      </c>
      <c r="L13" s="52">
        <v>3873</v>
      </c>
      <c r="M13" s="40">
        <f t="shared" si="4"/>
        <v>1.4280973451327434</v>
      </c>
      <c r="N13" s="52">
        <v>306</v>
      </c>
      <c r="O13" s="40">
        <f t="shared" si="5"/>
        <v>2.300751879699248</v>
      </c>
      <c r="P13" s="52">
        <v>0</v>
      </c>
      <c r="Q13" s="40">
        <f t="shared" si="6"/>
      </c>
      <c r="R13" s="52">
        <v>0</v>
      </c>
      <c r="S13" s="28">
        <f t="shared" si="7"/>
      </c>
      <c r="T13" s="52">
        <v>98</v>
      </c>
      <c r="U13" s="40">
        <f t="shared" si="8"/>
      </c>
      <c r="V13" s="52">
        <v>19217</v>
      </c>
      <c r="W13" s="30">
        <f t="shared" si="9"/>
        <v>0.9902097181429381</v>
      </c>
    </row>
    <row r="14" spans="1:23" ht="23.25" customHeight="1">
      <c r="A14" s="27" t="s">
        <v>54</v>
      </c>
      <c r="B14" s="52">
        <v>607</v>
      </c>
      <c r="C14" s="40">
        <f t="shared" si="0"/>
        <v>0.900593471810089</v>
      </c>
      <c r="D14" s="52">
        <v>1271</v>
      </c>
      <c r="E14" s="40">
        <f t="shared" si="1"/>
        <v>1.8554744525547446</v>
      </c>
      <c r="F14" s="52">
        <v>405</v>
      </c>
      <c r="G14" s="40">
        <f t="shared" si="2"/>
        <v>0.6183206106870229</v>
      </c>
      <c r="H14" s="52">
        <v>5553</v>
      </c>
      <c r="I14" s="40">
        <f t="shared" si="3"/>
        <v>0.9625585023400937</v>
      </c>
      <c r="J14" s="52">
        <v>7281</v>
      </c>
      <c r="K14" s="40">
        <f t="shared" si="4"/>
        <v>1.0173256951236551</v>
      </c>
      <c r="L14" s="52">
        <v>2789</v>
      </c>
      <c r="M14" s="40">
        <f t="shared" si="4"/>
        <v>0.7201136070229796</v>
      </c>
      <c r="N14" s="52">
        <v>370</v>
      </c>
      <c r="O14" s="40">
        <f t="shared" si="5"/>
        <v>1.2091503267973855</v>
      </c>
      <c r="P14" s="52">
        <v>0</v>
      </c>
      <c r="Q14" s="40">
        <f t="shared" si="6"/>
      </c>
      <c r="R14" s="52">
        <v>0</v>
      </c>
      <c r="S14" s="28">
        <f t="shared" si="7"/>
      </c>
      <c r="T14" s="52">
        <v>145</v>
      </c>
      <c r="U14" s="40">
        <f t="shared" si="8"/>
        <v>1.4795918367346939</v>
      </c>
      <c r="V14" s="52">
        <v>18421</v>
      </c>
      <c r="W14" s="30">
        <f t="shared" si="9"/>
        <v>0.9585783420929386</v>
      </c>
    </row>
    <row r="15" spans="1:23" ht="23.25" customHeight="1">
      <c r="A15" s="27" t="s">
        <v>55</v>
      </c>
      <c r="B15" s="52">
        <v>617</v>
      </c>
      <c r="C15" s="40">
        <f t="shared" si="0"/>
        <v>1.016474464579901</v>
      </c>
      <c r="D15" s="52">
        <v>706</v>
      </c>
      <c r="E15" s="40">
        <f t="shared" si="1"/>
        <v>0.5554681353265145</v>
      </c>
      <c r="F15" s="52">
        <v>472</v>
      </c>
      <c r="G15" s="40">
        <f t="shared" si="2"/>
        <v>1.165432098765432</v>
      </c>
      <c r="H15" s="52">
        <v>5552</v>
      </c>
      <c r="I15" s="40">
        <f t="shared" si="3"/>
        <v>0.9998199171618944</v>
      </c>
      <c r="J15" s="52">
        <v>5359</v>
      </c>
      <c r="K15" s="40">
        <f t="shared" si="4"/>
        <v>0.7360252712539487</v>
      </c>
      <c r="L15" s="52">
        <v>2860</v>
      </c>
      <c r="M15" s="40">
        <f t="shared" si="4"/>
        <v>1.02545715310147</v>
      </c>
      <c r="N15" s="52">
        <v>311</v>
      </c>
      <c r="O15" s="40">
        <f t="shared" si="5"/>
        <v>0.8405405405405405</v>
      </c>
      <c r="P15" s="52">
        <v>0</v>
      </c>
      <c r="Q15" s="40">
        <f t="shared" si="6"/>
      </c>
      <c r="R15" s="52">
        <v>0</v>
      </c>
      <c r="S15" s="28">
        <f t="shared" si="7"/>
      </c>
      <c r="T15" s="52">
        <v>106</v>
      </c>
      <c r="U15" s="40">
        <f t="shared" si="8"/>
        <v>0.7310344827586207</v>
      </c>
      <c r="V15" s="52">
        <v>15983</v>
      </c>
      <c r="W15" s="30">
        <f t="shared" si="9"/>
        <v>0.8676510504315726</v>
      </c>
    </row>
    <row r="16" spans="1:23" ht="23.25" customHeight="1">
      <c r="A16" s="27" t="s">
        <v>56</v>
      </c>
      <c r="B16" s="52">
        <v>590</v>
      </c>
      <c r="C16" s="40">
        <f t="shared" si="0"/>
        <v>0.9562398703403565</v>
      </c>
      <c r="D16" s="52">
        <v>158</v>
      </c>
      <c r="E16" s="40">
        <f t="shared" si="1"/>
        <v>0.2237960339943343</v>
      </c>
      <c r="F16" s="52">
        <v>527</v>
      </c>
      <c r="G16" s="40">
        <f t="shared" si="2"/>
        <v>1.1165254237288136</v>
      </c>
      <c r="H16" s="52">
        <v>4526</v>
      </c>
      <c r="I16" s="40">
        <f t="shared" si="3"/>
        <v>0.8152017291066282</v>
      </c>
      <c r="J16" s="52">
        <v>4266</v>
      </c>
      <c r="K16" s="40">
        <f t="shared" si="4"/>
        <v>0.7960440380668035</v>
      </c>
      <c r="L16" s="52">
        <v>3578</v>
      </c>
      <c r="M16" s="40">
        <f t="shared" si="4"/>
        <v>1.251048951048951</v>
      </c>
      <c r="N16" s="52">
        <v>285</v>
      </c>
      <c r="O16" s="40">
        <f t="shared" si="5"/>
        <v>0.9163987138263665</v>
      </c>
      <c r="P16" s="52">
        <v>0</v>
      </c>
      <c r="Q16" s="40">
        <f t="shared" si="6"/>
      </c>
      <c r="R16" s="52">
        <v>0</v>
      </c>
      <c r="S16" s="28">
        <f t="shared" si="7"/>
      </c>
      <c r="T16" s="52">
        <v>154</v>
      </c>
      <c r="U16" s="40">
        <f t="shared" si="8"/>
        <v>1.4528301886792452</v>
      </c>
      <c r="V16" s="52">
        <v>14084</v>
      </c>
      <c r="W16" s="30">
        <f t="shared" si="9"/>
        <v>0.8811862604016768</v>
      </c>
    </row>
    <row r="17" spans="1:23" ht="23.25" customHeight="1">
      <c r="A17" s="27" t="s">
        <v>78</v>
      </c>
      <c r="B17" s="52">
        <v>510</v>
      </c>
      <c r="C17" s="40">
        <f t="shared" si="0"/>
        <v>0.864406779661017</v>
      </c>
      <c r="D17" s="52">
        <v>158</v>
      </c>
      <c r="E17" s="40">
        <f t="shared" si="1"/>
        <v>1</v>
      </c>
      <c r="F17" s="52">
        <v>240</v>
      </c>
      <c r="G17" s="40">
        <f t="shared" si="2"/>
        <v>0.45540796963946867</v>
      </c>
      <c r="H17" s="52">
        <v>4076</v>
      </c>
      <c r="I17" s="40">
        <f t="shared" si="3"/>
        <v>0.900574458683164</v>
      </c>
      <c r="J17" s="52">
        <v>4941</v>
      </c>
      <c r="K17" s="40">
        <f t="shared" si="4"/>
        <v>1.1582278481012658</v>
      </c>
      <c r="L17" s="52">
        <v>2874</v>
      </c>
      <c r="M17" s="40">
        <f t="shared" si="4"/>
        <v>0.8032420346562326</v>
      </c>
      <c r="N17" s="52">
        <v>33</v>
      </c>
      <c r="O17" s="40">
        <f t="shared" si="5"/>
        <v>0.11578947368421053</v>
      </c>
      <c r="P17" s="52">
        <v>0</v>
      </c>
      <c r="Q17" s="40">
        <f t="shared" si="6"/>
      </c>
      <c r="R17" s="52">
        <v>0</v>
      </c>
      <c r="S17" s="40">
        <f t="shared" si="7"/>
      </c>
      <c r="T17" s="52">
        <v>0</v>
      </c>
      <c r="U17" s="40">
        <f t="shared" si="8"/>
        <v>0</v>
      </c>
      <c r="V17" s="52">
        <v>13344</v>
      </c>
      <c r="W17" s="40">
        <f t="shared" si="9"/>
        <v>0.9474581084919057</v>
      </c>
    </row>
    <row r="18" spans="1:23" ht="23.25" customHeight="1">
      <c r="A18" s="27" t="s">
        <v>99</v>
      </c>
      <c r="B18" s="52">
        <v>593</v>
      </c>
      <c r="C18" s="40">
        <f t="shared" si="0"/>
        <v>1.1627450980392158</v>
      </c>
      <c r="D18" s="52">
        <v>158</v>
      </c>
      <c r="E18" s="40">
        <f t="shared" si="1"/>
        <v>1</v>
      </c>
      <c r="F18" s="52">
        <v>292</v>
      </c>
      <c r="G18" s="40">
        <f t="shared" si="2"/>
        <v>1.2166666666666666</v>
      </c>
      <c r="H18" s="52">
        <v>3400</v>
      </c>
      <c r="I18" s="40">
        <f t="shared" si="3"/>
        <v>0.8341511285574092</v>
      </c>
      <c r="J18" s="52">
        <v>2931</v>
      </c>
      <c r="K18" s="40">
        <f t="shared" si="4"/>
        <v>0.5931997571341834</v>
      </c>
      <c r="L18" s="52">
        <v>2171</v>
      </c>
      <c r="M18" s="40">
        <f t="shared" si="4"/>
        <v>0.7553931802366041</v>
      </c>
      <c r="N18" s="52">
        <v>305</v>
      </c>
      <c r="O18" s="40">
        <f t="shared" si="5"/>
        <v>9.242424242424242</v>
      </c>
      <c r="P18" s="52">
        <v>0</v>
      </c>
      <c r="Q18" s="40">
        <f t="shared" si="6"/>
      </c>
      <c r="R18" s="52">
        <v>0</v>
      </c>
      <c r="S18" s="40">
        <f t="shared" si="7"/>
      </c>
      <c r="T18" s="52">
        <v>0</v>
      </c>
      <c r="U18" s="40">
        <f t="shared" si="8"/>
      </c>
      <c r="V18" s="52">
        <v>9996</v>
      </c>
      <c r="W18" s="40">
        <f t="shared" si="9"/>
        <v>0.7491007194244604</v>
      </c>
    </row>
    <row r="19" spans="1:23" ht="23.25" customHeight="1">
      <c r="A19" s="27" t="s">
        <v>144</v>
      </c>
      <c r="B19" s="52">
        <v>427</v>
      </c>
      <c r="C19" s="40">
        <f t="shared" si="0"/>
        <v>0.7200674536256324</v>
      </c>
      <c r="D19" s="52">
        <v>158</v>
      </c>
      <c r="E19" s="40">
        <f t="shared" si="1"/>
        <v>1</v>
      </c>
      <c r="F19" s="52">
        <v>320</v>
      </c>
      <c r="G19" s="40">
        <f t="shared" si="2"/>
        <v>1.095890410958904</v>
      </c>
      <c r="H19" s="52">
        <v>3926</v>
      </c>
      <c r="I19" s="40">
        <f t="shared" si="3"/>
        <v>1.1547058823529412</v>
      </c>
      <c r="J19" s="52">
        <v>5274</v>
      </c>
      <c r="K19" s="40">
        <f t="shared" si="4"/>
        <v>1.7993858751279428</v>
      </c>
      <c r="L19" s="52">
        <v>2402</v>
      </c>
      <c r="M19" s="40">
        <f t="shared" si="4"/>
        <v>1.1064025794564716</v>
      </c>
      <c r="N19" s="52">
        <v>232</v>
      </c>
      <c r="O19" s="40">
        <f t="shared" si="5"/>
        <v>0.760655737704918</v>
      </c>
      <c r="P19" s="52">
        <v>0</v>
      </c>
      <c r="Q19" s="40">
        <f t="shared" si="6"/>
      </c>
      <c r="R19" s="52">
        <v>0</v>
      </c>
      <c r="S19" s="40">
        <f t="shared" si="7"/>
      </c>
      <c r="T19" s="52">
        <v>0</v>
      </c>
      <c r="U19" s="40">
        <f t="shared" si="8"/>
      </c>
      <c r="V19" s="52">
        <v>13115</v>
      </c>
      <c r="W19" s="40">
        <f t="shared" si="9"/>
        <v>1.3120248099239695</v>
      </c>
    </row>
    <row r="20" spans="1:23" ht="23.25" customHeight="1">
      <c r="A20" s="27" t="s">
        <v>152</v>
      </c>
      <c r="B20" s="52">
        <v>363</v>
      </c>
      <c r="C20" s="40">
        <f t="shared" si="0"/>
        <v>0.8501170960187353</v>
      </c>
      <c r="D20" s="52">
        <v>158</v>
      </c>
      <c r="E20" s="40">
        <f t="shared" si="1"/>
        <v>1</v>
      </c>
      <c r="F20" s="52">
        <v>148</v>
      </c>
      <c r="G20" s="40">
        <f t="shared" si="2"/>
        <v>0.4625</v>
      </c>
      <c r="H20" s="52">
        <v>5644</v>
      </c>
      <c r="I20" s="40">
        <f t="shared" si="3"/>
        <v>1.4375955170657158</v>
      </c>
      <c r="J20" s="52">
        <v>1667</v>
      </c>
      <c r="K20" s="40">
        <f t="shared" si="4"/>
        <v>0.3160788775123246</v>
      </c>
      <c r="L20" s="52">
        <v>1567</v>
      </c>
      <c r="M20" s="40">
        <f t="shared" si="4"/>
        <v>0.6523730224812656</v>
      </c>
      <c r="N20" s="52">
        <v>185</v>
      </c>
      <c r="O20" s="40">
        <f t="shared" si="5"/>
        <v>0.7974137931034483</v>
      </c>
      <c r="P20" s="52">
        <v>0</v>
      </c>
      <c r="Q20" s="40">
        <f t="shared" si="6"/>
      </c>
      <c r="R20" s="52">
        <v>0</v>
      </c>
      <c r="S20" s="40">
        <f t="shared" si="7"/>
      </c>
      <c r="T20" s="52">
        <v>0</v>
      </c>
      <c r="U20" s="40">
        <f t="shared" si="8"/>
      </c>
      <c r="V20" s="52">
        <v>9981</v>
      </c>
      <c r="W20" s="40">
        <f t="shared" si="9"/>
        <v>0.7610369805566146</v>
      </c>
    </row>
    <row r="21" spans="1:23" ht="23.25" customHeight="1">
      <c r="A21" s="27" t="s">
        <v>169</v>
      </c>
      <c r="B21" s="52">
        <v>498</v>
      </c>
      <c r="C21" s="40">
        <f t="shared" si="0"/>
        <v>1.371900826446281</v>
      </c>
      <c r="D21" s="52">
        <v>158</v>
      </c>
      <c r="E21" s="40">
        <f t="shared" si="1"/>
        <v>1</v>
      </c>
      <c r="F21" s="52">
        <v>324</v>
      </c>
      <c r="G21" s="40">
        <f t="shared" si="2"/>
        <v>2.189189189189189</v>
      </c>
      <c r="H21" s="52">
        <v>4278</v>
      </c>
      <c r="I21" s="40">
        <f t="shared" si="3"/>
        <v>0.7579730687455705</v>
      </c>
      <c r="J21" s="52">
        <v>2239</v>
      </c>
      <c r="K21" s="40">
        <f t="shared" si="4"/>
        <v>1.343131373725255</v>
      </c>
      <c r="L21" s="52">
        <v>1804</v>
      </c>
      <c r="M21" s="40">
        <f t="shared" si="4"/>
        <v>1.1512444160816848</v>
      </c>
      <c r="N21" s="52">
        <v>152</v>
      </c>
      <c r="O21" s="40">
        <f t="shared" si="5"/>
        <v>0.8216216216216217</v>
      </c>
      <c r="P21" s="52">
        <v>0</v>
      </c>
      <c r="Q21" s="40">
        <f t="shared" si="6"/>
      </c>
      <c r="R21" s="52">
        <v>0</v>
      </c>
      <c r="S21" s="40">
        <f t="shared" si="7"/>
      </c>
      <c r="T21" s="52">
        <v>244</v>
      </c>
      <c r="U21" s="40">
        <f t="shared" si="8"/>
      </c>
      <c r="V21" s="52">
        <v>9839</v>
      </c>
      <c r="W21" s="40">
        <f t="shared" si="9"/>
        <v>0.9857729686404167</v>
      </c>
    </row>
    <row r="22" spans="1:23" ht="23.25" customHeight="1">
      <c r="A22" s="27" t="s">
        <v>181</v>
      </c>
      <c r="B22" s="52">
        <v>304</v>
      </c>
      <c r="C22" s="40">
        <f t="shared" si="0"/>
        <v>0.6104417670682731</v>
      </c>
      <c r="D22" s="52">
        <v>158</v>
      </c>
      <c r="E22" s="40">
        <f t="shared" si="1"/>
        <v>1</v>
      </c>
      <c r="F22" s="52">
        <v>264</v>
      </c>
      <c r="G22" s="40">
        <f t="shared" si="2"/>
        <v>0.8148148148148148</v>
      </c>
      <c r="H22" s="52">
        <v>4680</v>
      </c>
      <c r="I22" s="40">
        <f t="shared" si="3"/>
        <v>1.0939691444600281</v>
      </c>
      <c r="J22" s="52">
        <v>1433</v>
      </c>
      <c r="K22" s="40">
        <f t="shared" si="4"/>
        <v>0.6400178651183565</v>
      </c>
      <c r="L22" s="52">
        <v>1177</v>
      </c>
      <c r="M22" s="40">
        <f t="shared" si="4"/>
        <v>0.6524390243902439</v>
      </c>
      <c r="N22" s="52">
        <v>115</v>
      </c>
      <c r="O22" s="40">
        <f t="shared" si="5"/>
        <v>0.756578947368421</v>
      </c>
      <c r="P22" s="52">
        <v>0</v>
      </c>
      <c r="Q22" s="40">
        <f t="shared" si="6"/>
      </c>
      <c r="R22" s="52">
        <v>0</v>
      </c>
      <c r="S22" s="40">
        <f t="shared" si="7"/>
      </c>
      <c r="T22" s="52">
        <v>324</v>
      </c>
      <c r="U22" s="40">
        <f t="shared" si="8"/>
        <v>1.3278688524590163</v>
      </c>
      <c r="V22" s="52">
        <v>8381</v>
      </c>
      <c r="W22" s="40">
        <f t="shared" si="9"/>
        <v>0.851814208761053</v>
      </c>
    </row>
    <row r="23" spans="1:23" ht="23.25" customHeight="1">
      <c r="A23" s="27" t="s">
        <v>186</v>
      </c>
      <c r="B23" s="52">
        <v>317</v>
      </c>
      <c r="C23" s="40">
        <f aca="true" t="shared" si="10" ref="C23:C28">IF(B22=0,"",B23/B22)</f>
        <v>1.042763157894737</v>
      </c>
      <c r="D23" s="52">
        <v>158</v>
      </c>
      <c r="E23" s="40">
        <f aca="true" t="shared" si="11" ref="E23:E28">IF(D22=0,"",D23/D22)</f>
        <v>1</v>
      </c>
      <c r="F23" s="52">
        <v>283</v>
      </c>
      <c r="G23" s="40">
        <f aca="true" t="shared" si="12" ref="G23:G28">IF(F22=0,"",F23/F22)</f>
        <v>1.071969696969697</v>
      </c>
      <c r="H23" s="52">
        <v>3440</v>
      </c>
      <c r="I23" s="40">
        <f aca="true" t="shared" si="13" ref="I23:I28">IF(H22=0,"",H23/H22)</f>
        <v>0.7350427350427351</v>
      </c>
      <c r="J23" s="52">
        <v>1581</v>
      </c>
      <c r="K23" s="40">
        <f aca="true" t="shared" si="14" ref="K23:K28">IF(J22=0,"",J23/J22)</f>
        <v>1.1032798325191906</v>
      </c>
      <c r="L23" s="52">
        <v>788</v>
      </c>
      <c r="M23" s="40">
        <f aca="true" t="shared" si="15" ref="M23:M28">IF(L22=0,"",L23/L22)</f>
        <v>0.6694987255734919</v>
      </c>
      <c r="N23" s="52">
        <v>131</v>
      </c>
      <c r="O23" s="40">
        <f aca="true" t="shared" si="16" ref="O23:O28">IF(N22=0,"",N23/N22)</f>
        <v>1.1391304347826088</v>
      </c>
      <c r="P23" s="52">
        <v>0</v>
      </c>
      <c r="Q23" s="40">
        <f aca="true" t="shared" si="17" ref="Q23:Q28">IF(P22=0,"",P23/P22)</f>
      </c>
      <c r="R23" s="52">
        <v>0</v>
      </c>
      <c r="S23" s="40">
        <f aca="true" t="shared" si="18" ref="S23:S28">IF(R22=0,"",R23/R22)</f>
      </c>
      <c r="T23" s="52">
        <v>113</v>
      </c>
      <c r="U23" s="40">
        <f aca="true" t="shared" si="19" ref="U23:U28">IF(T22=0,"",T23/T22)</f>
        <v>0.3487654320987654</v>
      </c>
      <c r="V23" s="52">
        <v>6742</v>
      </c>
      <c r="W23" s="40">
        <f aca="true" t="shared" si="20" ref="W23:W28">IF(V22=0,"",V23/V22)</f>
        <v>0.8044386111442549</v>
      </c>
    </row>
    <row r="24" spans="1:23" ht="23.25" customHeight="1">
      <c r="A24" s="27" t="s">
        <v>209</v>
      </c>
      <c r="B24" s="52">
        <v>303</v>
      </c>
      <c r="C24" s="40">
        <f t="shared" si="10"/>
        <v>0.9558359621451105</v>
      </c>
      <c r="D24" s="52">
        <v>158</v>
      </c>
      <c r="E24" s="40">
        <f t="shared" si="11"/>
        <v>1</v>
      </c>
      <c r="F24" s="52">
        <v>454</v>
      </c>
      <c r="G24" s="40">
        <f t="shared" si="12"/>
        <v>1.6042402826855124</v>
      </c>
      <c r="H24" s="52">
        <v>3875</v>
      </c>
      <c r="I24" s="40">
        <f t="shared" si="13"/>
        <v>1.126453488372093</v>
      </c>
      <c r="J24" s="52">
        <v>1451</v>
      </c>
      <c r="K24" s="40">
        <f t="shared" si="14"/>
        <v>0.9177735610373181</v>
      </c>
      <c r="L24" s="52">
        <v>572</v>
      </c>
      <c r="M24" s="40">
        <f t="shared" si="15"/>
        <v>0.7258883248730964</v>
      </c>
      <c r="N24" s="52">
        <v>150</v>
      </c>
      <c r="O24" s="40">
        <f t="shared" si="16"/>
        <v>1.1450381679389312</v>
      </c>
      <c r="P24" s="52">
        <v>0</v>
      </c>
      <c r="Q24" s="40">
        <f t="shared" si="17"/>
      </c>
      <c r="R24" s="52">
        <v>0</v>
      </c>
      <c r="S24" s="40">
        <f t="shared" si="18"/>
      </c>
      <c r="T24" s="52">
        <v>129</v>
      </c>
      <c r="U24" s="40">
        <f t="shared" si="19"/>
        <v>1.1415929203539823</v>
      </c>
      <c r="V24" s="52">
        <v>6989</v>
      </c>
      <c r="W24" s="40">
        <f t="shared" si="20"/>
        <v>1.0366360130525067</v>
      </c>
    </row>
    <row r="25" spans="1:23" ht="23.25" customHeight="1">
      <c r="A25" s="27" t="s">
        <v>210</v>
      </c>
      <c r="B25" s="52">
        <v>423</v>
      </c>
      <c r="C25" s="40">
        <f t="shared" si="10"/>
        <v>1.396039603960396</v>
      </c>
      <c r="D25" s="52">
        <v>158</v>
      </c>
      <c r="E25" s="40">
        <f t="shared" si="11"/>
        <v>1</v>
      </c>
      <c r="F25" s="52">
        <v>258</v>
      </c>
      <c r="G25" s="40">
        <f t="shared" si="12"/>
        <v>0.5682819383259912</v>
      </c>
      <c r="H25" s="52">
        <v>4383</v>
      </c>
      <c r="I25" s="40">
        <f t="shared" si="13"/>
        <v>1.1310967741935485</v>
      </c>
      <c r="J25" s="52">
        <v>1129</v>
      </c>
      <c r="K25" s="40">
        <f t="shared" si="14"/>
        <v>0.7780840799448656</v>
      </c>
      <c r="L25" s="52">
        <v>1065</v>
      </c>
      <c r="M25" s="40">
        <f t="shared" si="15"/>
        <v>1.8618881118881119</v>
      </c>
      <c r="N25" s="52">
        <v>236</v>
      </c>
      <c r="O25" s="40">
        <f t="shared" si="16"/>
        <v>1.5733333333333333</v>
      </c>
      <c r="P25" s="52">
        <v>0</v>
      </c>
      <c r="Q25" s="40">
        <f t="shared" si="17"/>
      </c>
      <c r="R25" s="52">
        <v>0</v>
      </c>
      <c r="S25" s="40">
        <f t="shared" si="18"/>
      </c>
      <c r="T25" s="52">
        <v>99</v>
      </c>
      <c r="U25" s="40">
        <f t="shared" si="19"/>
        <v>0.7674418604651163</v>
      </c>
      <c r="V25" s="52">
        <v>7671</v>
      </c>
      <c r="W25" s="40">
        <f t="shared" si="20"/>
        <v>1.0975819144369723</v>
      </c>
    </row>
    <row r="26" spans="1:23" ht="23.25" customHeight="1">
      <c r="A26" s="27" t="s">
        <v>215</v>
      </c>
      <c r="B26" s="52">
        <v>320</v>
      </c>
      <c r="C26" s="40">
        <f t="shared" si="10"/>
        <v>0.7565011820330969</v>
      </c>
      <c r="D26" s="52">
        <v>158</v>
      </c>
      <c r="E26" s="40">
        <f t="shared" si="11"/>
        <v>1</v>
      </c>
      <c r="F26" s="52">
        <v>393</v>
      </c>
      <c r="G26" s="40">
        <f t="shared" si="12"/>
        <v>1.5232558139534884</v>
      </c>
      <c r="H26" s="52">
        <v>3699</v>
      </c>
      <c r="I26" s="40">
        <f t="shared" si="13"/>
        <v>0.8439425051334702</v>
      </c>
      <c r="J26" s="52">
        <v>1229</v>
      </c>
      <c r="K26" s="40">
        <f t="shared" si="14"/>
        <v>1.0885739592559787</v>
      </c>
      <c r="L26" s="52">
        <v>1314</v>
      </c>
      <c r="M26" s="40">
        <f t="shared" si="15"/>
        <v>1.2338028169014084</v>
      </c>
      <c r="N26" s="52">
        <v>158</v>
      </c>
      <c r="O26" s="40">
        <f t="shared" si="16"/>
        <v>0.6694915254237288</v>
      </c>
      <c r="P26" s="52">
        <v>0</v>
      </c>
      <c r="Q26" s="40">
        <f t="shared" si="17"/>
      </c>
      <c r="R26" s="52">
        <v>0</v>
      </c>
      <c r="S26" s="40">
        <f t="shared" si="18"/>
      </c>
      <c r="T26" s="52">
        <v>137</v>
      </c>
      <c r="U26" s="40">
        <f t="shared" si="19"/>
        <v>1.3838383838383839</v>
      </c>
      <c r="V26" s="52">
        <v>7392</v>
      </c>
      <c r="W26" s="40">
        <f t="shared" si="20"/>
        <v>0.9636292530308955</v>
      </c>
    </row>
    <row r="27" spans="1:23" ht="23.25" customHeight="1">
      <c r="A27" s="27" t="s">
        <v>217</v>
      </c>
      <c r="B27" s="52">
        <v>232</v>
      </c>
      <c r="C27" s="40">
        <f t="shared" si="10"/>
        <v>0.725</v>
      </c>
      <c r="D27" s="52">
        <v>158</v>
      </c>
      <c r="E27" s="40">
        <f t="shared" si="11"/>
        <v>1</v>
      </c>
      <c r="F27" s="52">
        <v>390</v>
      </c>
      <c r="G27" s="40">
        <f t="shared" si="12"/>
        <v>0.9923664122137404</v>
      </c>
      <c r="H27" s="52">
        <v>2938</v>
      </c>
      <c r="I27" s="40">
        <f t="shared" si="13"/>
        <v>0.7942687212760206</v>
      </c>
      <c r="J27" s="52">
        <v>1083</v>
      </c>
      <c r="K27" s="40">
        <f t="shared" si="14"/>
        <v>0.8812042310821806</v>
      </c>
      <c r="L27" s="52">
        <v>997</v>
      </c>
      <c r="M27" s="40">
        <f t="shared" si="15"/>
        <v>0.758751902587519</v>
      </c>
      <c r="N27" s="52">
        <v>184</v>
      </c>
      <c r="O27" s="40">
        <f t="shared" si="16"/>
        <v>1.1645569620253164</v>
      </c>
      <c r="P27" s="52">
        <v>0</v>
      </c>
      <c r="Q27" s="40">
        <f t="shared" si="17"/>
      </c>
      <c r="R27" s="52">
        <v>0</v>
      </c>
      <c r="S27" s="40">
        <f t="shared" si="18"/>
      </c>
      <c r="T27" s="52">
        <v>148</v>
      </c>
      <c r="U27" s="40">
        <f t="shared" si="19"/>
        <v>1.0802919708029197</v>
      </c>
      <c r="V27" s="52">
        <v>6014</v>
      </c>
      <c r="W27" s="40">
        <f t="shared" si="20"/>
        <v>0.8135822510822511</v>
      </c>
    </row>
    <row r="28" spans="1:23" ht="23.25" customHeight="1">
      <c r="A28" s="27" t="s">
        <v>220</v>
      </c>
      <c r="B28" s="52">
        <v>230</v>
      </c>
      <c r="C28" s="40">
        <f t="shared" si="10"/>
        <v>0.9913793103448276</v>
      </c>
      <c r="D28" s="52">
        <v>160</v>
      </c>
      <c r="E28" s="40">
        <f t="shared" si="11"/>
        <v>1.0126582278481013</v>
      </c>
      <c r="F28" s="52">
        <v>394</v>
      </c>
      <c r="G28" s="40">
        <f t="shared" si="12"/>
        <v>1.0102564102564102</v>
      </c>
      <c r="H28" s="52">
        <v>3245</v>
      </c>
      <c r="I28" s="40">
        <f t="shared" si="13"/>
        <v>1.104492852280463</v>
      </c>
      <c r="J28" s="52">
        <v>403</v>
      </c>
      <c r="K28" s="40">
        <f t="shared" si="14"/>
        <v>0.3721144967682364</v>
      </c>
      <c r="L28" s="52">
        <v>849</v>
      </c>
      <c r="M28" s="40">
        <f t="shared" si="15"/>
        <v>0.8515546639919759</v>
      </c>
      <c r="N28" s="52">
        <v>122</v>
      </c>
      <c r="O28" s="40">
        <f t="shared" si="16"/>
        <v>0.6630434782608695</v>
      </c>
      <c r="P28" s="52">
        <v>0</v>
      </c>
      <c r="Q28" s="40">
        <f t="shared" si="17"/>
      </c>
      <c r="R28" s="52">
        <v>0</v>
      </c>
      <c r="S28" s="40">
        <f t="shared" si="18"/>
      </c>
      <c r="T28" s="52">
        <v>79</v>
      </c>
      <c r="U28" s="40">
        <f t="shared" si="19"/>
        <v>0.5337837837837838</v>
      </c>
      <c r="V28" s="52">
        <v>5491</v>
      </c>
      <c r="W28" s="40">
        <f t="shared" si="20"/>
        <v>0.9130362487529099</v>
      </c>
    </row>
    <row r="29" spans="1:23" ht="23.25" customHeight="1">
      <c r="A29" s="71"/>
      <c r="B29" s="72"/>
      <c r="C29" s="73"/>
      <c r="D29" s="72"/>
      <c r="E29" s="73"/>
      <c r="F29" s="72"/>
      <c r="G29" s="73"/>
      <c r="H29" s="72"/>
      <c r="I29" s="73"/>
      <c r="J29" s="72"/>
      <c r="K29" s="73"/>
      <c r="L29" s="72"/>
      <c r="M29" s="73"/>
      <c r="N29" s="72"/>
      <c r="O29" s="73"/>
      <c r="P29" s="72"/>
      <c r="Q29" s="73"/>
      <c r="R29" s="72"/>
      <c r="S29" s="73"/>
      <c r="T29" s="72"/>
      <c r="U29" s="73"/>
      <c r="V29" s="72"/>
      <c r="W29" s="73"/>
    </row>
    <row r="31" spans="1:23" ht="23.25" customHeight="1">
      <c r="A31" s="22" t="s">
        <v>57</v>
      </c>
      <c r="B31" s="22"/>
      <c r="C31" s="22"/>
      <c r="D31" s="22"/>
      <c r="E31" s="22"/>
      <c r="F31" s="22"/>
      <c r="G31" s="22"/>
      <c r="H31" s="22"/>
      <c r="I31" s="44"/>
      <c r="J31" s="22"/>
      <c r="K31" s="22"/>
      <c r="L31" s="22"/>
      <c r="M31" s="22"/>
      <c r="N31" s="22"/>
      <c r="O31" s="44"/>
      <c r="P31" s="22"/>
      <c r="Q31" s="22"/>
      <c r="R31" s="22"/>
      <c r="S31" s="22"/>
      <c r="T31" s="22"/>
      <c r="U31" s="22"/>
      <c r="V31" s="22"/>
      <c r="W31" s="22"/>
    </row>
    <row r="32" spans="1:27" ht="23.25" customHeight="1">
      <c r="A32" s="99" t="s">
        <v>38</v>
      </c>
      <c r="B32" s="97" t="s">
        <v>58</v>
      </c>
      <c r="C32" s="98"/>
      <c r="D32" s="97" t="s">
        <v>59</v>
      </c>
      <c r="E32" s="98"/>
      <c r="F32" s="97" t="s">
        <v>60</v>
      </c>
      <c r="G32" s="98"/>
      <c r="H32" s="97" t="s">
        <v>222</v>
      </c>
      <c r="I32" s="98"/>
      <c r="J32" s="97" t="s">
        <v>61</v>
      </c>
      <c r="K32" s="98"/>
      <c r="L32" s="97" t="s">
        <v>62</v>
      </c>
      <c r="M32" s="98"/>
      <c r="N32" s="97" t="s">
        <v>63</v>
      </c>
      <c r="O32" s="98"/>
      <c r="P32" s="97" t="s">
        <v>64</v>
      </c>
      <c r="Q32" s="98"/>
      <c r="R32" s="97" t="s">
        <v>65</v>
      </c>
      <c r="S32" s="98"/>
      <c r="T32" s="97" t="s">
        <v>182</v>
      </c>
      <c r="U32" s="98"/>
      <c r="V32" s="97" t="s">
        <v>183</v>
      </c>
      <c r="W32" s="98"/>
      <c r="X32" s="97" t="s">
        <v>86</v>
      </c>
      <c r="Y32" s="98"/>
      <c r="Z32" s="20" t="s">
        <v>42</v>
      </c>
      <c r="AA32" s="21"/>
    </row>
    <row r="33" spans="1:27" ht="23.25" customHeight="1">
      <c r="A33" s="100"/>
      <c r="B33" s="33"/>
      <c r="C33" s="34" t="s">
        <v>43</v>
      </c>
      <c r="D33" s="33"/>
      <c r="E33" s="34" t="s">
        <v>43</v>
      </c>
      <c r="F33" s="33"/>
      <c r="G33" s="34" t="s">
        <v>43</v>
      </c>
      <c r="H33" s="35"/>
      <c r="I33" s="34" t="s">
        <v>43</v>
      </c>
      <c r="J33" s="33"/>
      <c r="K33" s="34" t="s">
        <v>43</v>
      </c>
      <c r="L33" s="33"/>
      <c r="M33" s="34" t="s">
        <v>43</v>
      </c>
      <c r="N33" s="33"/>
      <c r="O33" s="34" t="s">
        <v>43</v>
      </c>
      <c r="P33" s="36"/>
      <c r="Q33" s="34" t="s">
        <v>43</v>
      </c>
      <c r="R33" s="33"/>
      <c r="S33" s="34" t="s">
        <v>43</v>
      </c>
      <c r="T33" s="36"/>
      <c r="U33" s="34" t="s">
        <v>43</v>
      </c>
      <c r="V33" s="36"/>
      <c r="W33" s="34" t="s">
        <v>43</v>
      </c>
      <c r="X33" s="36"/>
      <c r="Y33" s="34" t="s">
        <v>43</v>
      </c>
      <c r="Z33" s="36"/>
      <c r="AA33" s="34" t="s">
        <v>43</v>
      </c>
    </row>
    <row r="34" spans="1:27" ht="23.25" customHeight="1">
      <c r="A34" s="23" t="s">
        <v>66</v>
      </c>
      <c r="B34" s="37">
        <v>32</v>
      </c>
      <c r="C34" s="38">
        <f aca="true" t="shared" si="21" ref="C34:C48">IF(B33=0,"",B34/B33)</f>
      </c>
      <c r="D34" s="52">
        <v>0</v>
      </c>
      <c r="E34" s="39">
        <f aca="true" t="shared" si="22" ref="E34:E48">IF(D33=0,"",D34/D33)</f>
      </c>
      <c r="F34" s="52">
        <v>2</v>
      </c>
      <c r="G34" s="39">
        <f aca="true" t="shared" si="23" ref="G34:G48">IF(F33=0,"",F34/F33)</f>
      </c>
      <c r="H34" s="52">
        <v>386</v>
      </c>
      <c r="I34" s="38" t="e">
        <v>#DIV/0!</v>
      </c>
      <c r="J34" s="52">
        <v>88</v>
      </c>
      <c r="K34" s="39">
        <f aca="true" t="shared" si="24" ref="K34:K48">IF(J33=0,"",J34/J33)</f>
      </c>
      <c r="L34" s="52">
        <v>0</v>
      </c>
      <c r="M34" s="39">
        <f aca="true" t="shared" si="25" ref="M34:M48">IF(L33=0,"",L34/L33)</f>
      </c>
      <c r="N34" s="52">
        <v>92</v>
      </c>
      <c r="O34" s="39">
        <f aca="true" t="shared" si="26" ref="O34:O48">IF(N33=0,"",N34/N33)</f>
      </c>
      <c r="P34" s="52">
        <v>67</v>
      </c>
      <c r="Q34" s="39">
        <f aca="true" t="shared" si="27" ref="Q34:Q48">IF(P33=0,"",P34/P33)</f>
      </c>
      <c r="R34" s="52">
        <v>0</v>
      </c>
      <c r="S34" s="39">
        <f aca="true" t="shared" si="28" ref="S34:S48">IF(R33=0,"",R34/R33)</f>
      </c>
      <c r="T34" s="52">
        <v>0</v>
      </c>
      <c r="U34" s="39">
        <f aca="true" t="shared" si="29" ref="U34:U48">IF(T33=0,"",T34/T33)</f>
      </c>
      <c r="V34" s="52">
        <v>0</v>
      </c>
      <c r="W34" s="39">
        <f aca="true" t="shared" si="30" ref="W34:W48">IF(V33=0,"",V34/V33)</f>
      </c>
      <c r="X34" s="52">
        <v>0</v>
      </c>
      <c r="Y34" s="39">
        <f aca="true" t="shared" si="31" ref="Y34:Y48">IF(X33=0,"",X34/X33)</f>
      </c>
      <c r="Z34" s="52">
        <v>670</v>
      </c>
      <c r="AA34" s="39">
        <f aca="true" t="shared" si="32" ref="AA34:AA48">IF(Z33=0,"",Z34/Z33)</f>
      </c>
    </row>
    <row r="35" spans="1:27" ht="23.25" customHeight="1">
      <c r="A35" s="23" t="s">
        <v>67</v>
      </c>
      <c r="B35" s="37">
        <v>90</v>
      </c>
      <c r="C35" s="40">
        <f t="shared" si="21"/>
        <v>2.8125</v>
      </c>
      <c r="D35" s="37">
        <v>3</v>
      </c>
      <c r="E35" s="39">
        <f t="shared" si="22"/>
      </c>
      <c r="F35" s="52">
        <v>0</v>
      </c>
      <c r="G35" s="40">
        <f t="shared" si="23"/>
        <v>0</v>
      </c>
      <c r="H35" s="52">
        <v>319</v>
      </c>
      <c r="I35" s="40">
        <f aca="true" t="shared" si="33" ref="I35:I48">IF(H34=0,"",H35/H34)</f>
        <v>0.8264248704663213</v>
      </c>
      <c r="J35" s="52">
        <v>96</v>
      </c>
      <c r="K35" s="41">
        <f t="shared" si="24"/>
        <v>1.0909090909090908</v>
      </c>
      <c r="L35" s="52">
        <v>0</v>
      </c>
      <c r="M35" s="39">
        <f t="shared" si="25"/>
      </c>
      <c r="N35" s="52">
        <v>130</v>
      </c>
      <c r="O35" s="41">
        <f t="shared" si="26"/>
        <v>1.4130434782608696</v>
      </c>
      <c r="P35" s="52">
        <v>96</v>
      </c>
      <c r="Q35" s="41">
        <f t="shared" si="27"/>
        <v>1.4328358208955223</v>
      </c>
      <c r="R35" s="52">
        <v>0</v>
      </c>
      <c r="S35" s="39">
        <f t="shared" si="28"/>
      </c>
      <c r="T35" s="52">
        <v>0</v>
      </c>
      <c r="U35" s="41">
        <f t="shared" si="29"/>
      </c>
      <c r="V35" s="52">
        <v>0</v>
      </c>
      <c r="W35" s="41">
        <f t="shared" si="30"/>
      </c>
      <c r="X35" s="52">
        <v>0</v>
      </c>
      <c r="Y35" s="41">
        <f t="shared" si="31"/>
      </c>
      <c r="Z35" s="52">
        <v>734</v>
      </c>
      <c r="AA35" s="40">
        <f t="shared" si="32"/>
        <v>1.0955223880597016</v>
      </c>
    </row>
    <row r="36" spans="1:27" ht="23.25" customHeight="1">
      <c r="A36" s="23" t="s">
        <v>68</v>
      </c>
      <c r="B36" s="37">
        <v>32</v>
      </c>
      <c r="C36" s="40">
        <f t="shared" si="21"/>
        <v>0.35555555555555557</v>
      </c>
      <c r="D36" s="37">
        <v>2</v>
      </c>
      <c r="E36" s="41">
        <f t="shared" si="22"/>
        <v>0.6666666666666666</v>
      </c>
      <c r="F36" s="52">
        <v>3</v>
      </c>
      <c r="G36" s="39">
        <f t="shared" si="23"/>
      </c>
      <c r="H36" s="52">
        <v>262</v>
      </c>
      <c r="I36" s="40">
        <f t="shared" si="33"/>
        <v>0.8213166144200627</v>
      </c>
      <c r="J36" s="52">
        <v>105</v>
      </c>
      <c r="K36" s="41">
        <f t="shared" si="24"/>
        <v>1.09375</v>
      </c>
      <c r="L36" s="52">
        <v>0</v>
      </c>
      <c r="M36" s="39">
        <f t="shared" si="25"/>
      </c>
      <c r="N36" s="52">
        <v>88</v>
      </c>
      <c r="O36" s="41">
        <f t="shared" si="26"/>
        <v>0.676923076923077</v>
      </c>
      <c r="P36" s="52">
        <v>185</v>
      </c>
      <c r="Q36" s="41">
        <f t="shared" si="27"/>
        <v>1.9270833333333333</v>
      </c>
      <c r="R36" s="52">
        <v>0</v>
      </c>
      <c r="S36" s="39">
        <f t="shared" si="28"/>
      </c>
      <c r="T36" s="52">
        <v>0</v>
      </c>
      <c r="U36" s="41">
        <f t="shared" si="29"/>
      </c>
      <c r="V36" s="52">
        <v>0</v>
      </c>
      <c r="W36" s="41">
        <f t="shared" si="30"/>
      </c>
      <c r="X36" s="52">
        <v>0</v>
      </c>
      <c r="Y36" s="41">
        <f t="shared" si="31"/>
      </c>
      <c r="Z36" s="52">
        <v>677</v>
      </c>
      <c r="AA36" s="40">
        <f t="shared" si="32"/>
        <v>0.9223433242506812</v>
      </c>
    </row>
    <row r="37" spans="1:27" ht="23.25" customHeight="1">
      <c r="A37" s="23" t="s">
        <v>69</v>
      </c>
      <c r="B37" s="37">
        <v>85</v>
      </c>
      <c r="C37" s="40">
        <f t="shared" si="21"/>
        <v>2.65625</v>
      </c>
      <c r="D37" s="37">
        <v>1</v>
      </c>
      <c r="E37" s="41">
        <f t="shared" si="22"/>
        <v>0.5</v>
      </c>
      <c r="F37" s="52">
        <v>12</v>
      </c>
      <c r="G37" s="41">
        <f t="shared" si="23"/>
        <v>4</v>
      </c>
      <c r="H37" s="52">
        <v>147</v>
      </c>
      <c r="I37" s="40">
        <f t="shared" si="33"/>
        <v>0.5610687022900763</v>
      </c>
      <c r="J37" s="52">
        <v>199</v>
      </c>
      <c r="K37" s="41">
        <f t="shared" si="24"/>
        <v>1.8952380952380952</v>
      </c>
      <c r="L37" s="52">
        <v>0</v>
      </c>
      <c r="M37" s="39">
        <f t="shared" si="25"/>
      </c>
      <c r="N37" s="52">
        <v>140</v>
      </c>
      <c r="O37" s="41">
        <f t="shared" si="26"/>
        <v>1.5909090909090908</v>
      </c>
      <c r="P37" s="52">
        <v>526</v>
      </c>
      <c r="Q37" s="41">
        <f t="shared" si="27"/>
        <v>2.843243243243243</v>
      </c>
      <c r="R37" s="52">
        <v>0</v>
      </c>
      <c r="S37" s="39">
        <f t="shared" si="28"/>
      </c>
      <c r="T37" s="52">
        <v>0</v>
      </c>
      <c r="U37" s="41">
        <f t="shared" si="29"/>
      </c>
      <c r="V37" s="52">
        <v>0</v>
      </c>
      <c r="W37" s="41">
        <f t="shared" si="30"/>
      </c>
      <c r="X37" s="52">
        <v>0</v>
      </c>
      <c r="Y37" s="41">
        <f t="shared" si="31"/>
      </c>
      <c r="Z37" s="52">
        <v>1110</v>
      </c>
      <c r="AA37" s="40">
        <f t="shared" si="32"/>
        <v>1.6395864106351552</v>
      </c>
    </row>
    <row r="38" spans="1:27" ht="23.25" customHeight="1">
      <c r="A38" s="23" t="s">
        <v>70</v>
      </c>
      <c r="B38" s="37">
        <v>34</v>
      </c>
      <c r="C38" s="40">
        <f t="shared" si="21"/>
        <v>0.4</v>
      </c>
      <c r="D38" s="37">
        <v>2</v>
      </c>
      <c r="E38" s="41">
        <f t="shared" si="22"/>
        <v>2</v>
      </c>
      <c r="F38" s="52">
        <v>11</v>
      </c>
      <c r="G38" s="41">
        <f t="shared" si="23"/>
        <v>0.9166666666666666</v>
      </c>
      <c r="H38" s="52">
        <v>141</v>
      </c>
      <c r="I38" s="40">
        <f t="shared" si="33"/>
        <v>0.9591836734693877</v>
      </c>
      <c r="J38" s="52">
        <v>123</v>
      </c>
      <c r="K38" s="41">
        <f t="shared" si="24"/>
        <v>0.6180904522613065</v>
      </c>
      <c r="L38" s="52">
        <v>98</v>
      </c>
      <c r="M38" s="39">
        <f t="shared" si="25"/>
      </c>
      <c r="N38" s="52">
        <v>122</v>
      </c>
      <c r="O38" s="41">
        <f t="shared" si="26"/>
        <v>0.8714285714285714</v>
      </c>
      <c r="P38" s="52">
        <v>439</v>
      </c>
      <c r="Q38" s="41">
        <f t="shared" si="27"/>
        <v>0.8346007604562737</v>
      </c>
      <c r="R38" s="52">
        <v>0</v>
      </c>
      <c r="S38" s="39">
        <f t="shared" si="28"/>
      </c>
      <c r="T38" s="52">
        <v>0</v>
      </c>
      <c r="U38" s="41">
        <f t="shared" si="29"/>
      </c>
      <c r="V38" s="52">
        <v>0</v>
      </c>
      <c r="W38" s="41">
        <f t="shared" si="30"/>
      </c>
      <c r="X38" s="52">
        <v>0</v>
      </c>
      <c r="Y38" s="41">
        <f t="shared" si="31"/>
      </c>
      <c r="Z38" s="52">
        <v>970</v>
      </c>
      <c r="AA38" s="40">
        <f t="shared" si="32"/>
        <v>0.8738738738738738</v>
      </c>
    </row>
    <row r="39" spans="1:27" ht="23.25" customHeight="1">
      <c r="A39" s="23" t="s">
        <v>71</v>
      </c>
      <c r="B39" s="37">
        <v>39</v>
      </c>
      <c r="C39" s="40">
        <f t="shared" si="21"/>
        <v>1.1470588235294117</v>
      </c>
      <c r="D39" s="37">
        <v>1</v>
      </c>
      <c r="E39" s="41">
        <f t="shared" si="22"/>
        <v>0.5</v>
      </c>
      <c r="F39" s="52">
        <v>18</v>
      </c>
      <c r="G39" s="41">
        <f t="shared" si="23"/>
        <v>1.6363636363636365</v>
      </c>
      <c r="H39" s="52">
        <v>73</v>
      </c>
      <c r="I39" s="40">
        <f t="shared" si="33"/>
        <v>0.5177304964539007</v>
      </c>
      <c r="J39" s="52">
        <v>98</v>
      </c>
      <c r="K39" s="41">
        <f t="shared" si="24"/>
        <v>0.7967479674796748</v>
      </c>
      <c r="L39" s="52">
        <v>123</v>
      </c>
      <c r="M39" s="41">
        <f t="shared" si="25"/>
        <v>1.2551020408163265</v>
      </c>
      <c r="N39" s="52">
        <v>155</v>
      </c>
      <c r="O39" s="41">
        <f t="shared" si="26"/>
        <v>1.2704918032786885</v>
      </c>
      <c r="P39" s="52">
        <v>444</v>
      </c>
      <c r="Q39" s="41">
        <f t="shared" si="27"/>
        <v>1.0113895216400912</v>
      </c>
      <c r="R39" s="52">
        <v>0</v>
      </c>
      <c r="S39" s="39">
        <f t="shared" si="28"/>
      </c>
      <c r="T39" s="52">
        <v>0</v>
      </c>
      <c r="U39" s="41">
        <f t="shared" si="29"/>
      </c>
      <c r="V39" s="52">
        <v>0</v>
      </c>
      <c r="W39" s="41">
        <f t="shared" si="30"/>
      </c>
      <c r="X39" s="52">
        <v>0</v>
      </c>
      <c r="Y39" s="41">
        <f t="shared" si="31"/>
      </c>
      <c r="Z39" s="52">
        <v>951</v>
      </c>
      <c r="AA39" s="40">
        <f t="shared" si="32"/>
        <v>0.9804123711340206</v>
      </c>
    </row>
    <row r="40" spans="1:27" ht="23.25" customHeight="1">
      <c r="A40" s="23" t="s">
        <v>72</v>
      </c>
      <c r="B40" s="37">
        <v>124</v>
      </c>
      <c r="C40" s="40">
        <f t="shared" si="21"/>
        <v>3.1794871794871793</v>
      </c>
      <c r="D40" s="52">
        <v>0</v>
      </c>
      <c r="E40" s="40">
        <f t="shared" si="22"/>
        <v>0</v>
      </c>
      <c r="F40" s="52">
        <v>22</v>
      </c>
      <c r="G40" s="41">
        <f t="shared" si="23"/>
        <v>1.2222222222222223</v>
      </c>
      <c r="H40" s="52">
        <v>124</v>
      </c>
      <c r="I40" s="40">
        <f t="shared" si="33"/>
        <v>1.6986301369863013</v>
      </c>
      <c r="J40" s="52">
        <v>128</v>
      </c>
      <c r="K40" s="41">
        <f t="shared" si="24"/>
        <v>1.3061224489795917</v>
      </c>
      <c r="L40" s="52">
        <v>182</v>
      </c>
      <c r="M40" s="41">
        <f t="shared" si="25"/>
        <v>1.4796747967479675</v>
      </c>
      <c r="N40" s="52">
        <v>251</v>
      </c>
      <c r="O40" s="41">
        <f t="shared" si="26"/>
        <v>1.6193548387096774</v>
      </c>
      <c r="P40" s="52">
        <v>1083</v>
      </c>
      <c r="Q40" s="41">
        <f t="shared" si="27"/>
        <v>2.439189189189189</v>
      </c>
      <c r="R40" s="52">
        <v>0</v>
      </c>
      <c r="S40" s="39">
        <f t="shared" si="28"/>
      </c>
      <c r="T40" s="52">
        <v>0</v>
      </c>
      <c r="U40" s="41">
        <f t="shared" si="29"/>
      </c>
      <c r="V40" s="52">
        <v>0</v>
      </c>
      <c r="W40" s="41">
        <f t="shared" si="30"/>
      </c>
      <c r="X40" s="52">
        <v>0</v>
      </c>
      <c r="Y40" s="41">
        <f t="shared" si="31"/>
      </c>
      <c r="Z40" s="52">
        <v>1914</v>
      </c>
      <c r="AA40" s="40">
        <f t="shared" si="32"/>
        <v>2.0126182965299684</v>
      </c>
    </row>
    <row r="41" spans="1:27" ht="23.25" customHeight="1">
      <c r="A41" s="23" t="s">
        <v>73</v>
      </c>
      <c r="B41" s="37">
        <v>52</v>
      </c>
      <c r="C41" s="40">
        <f t="shared" si="21"/>
        <v>0.41935483870967744</v>
      </c>
      <c r="D41" s="52">
        <v>0</v>
      </c>
      <c r="E41" s="40">
        <f t="shared" si="22"/>
      </c>
      <c r="F41" s="52">
        <v>13</v>
      </c>
      <c r="G41" s="41">
        <f t="shared" si="23"/>
        <v>0.5909090909090909</v>
      </c>
      <c r="H41" s="52">
        <v>81</v>
      </c>
      <c r="I41" s="40">
        <f t="shared" si="33"/>
        <v>0.6532258064516129</v>
      </c>
      <c r="J41" s="52">
        <v>117</v>
      </c>
      <c r="K41" s="41">
        <f t="shared" si="24"/>
        <v>0.9140625</v>
      </c>
      <c r="L41" s="52">
        <v>189</v>
      </c>
      <c r="M41" s="41">
        <f t="shared" si="25"/>
        <v>1.0384615384615385</v>
      </c>
      <c r="N41" s="52">
        <v>172</v>
      </c>
      <c r="O41" s="41">
        <f t="shared" si="26"/>
        <v>0.6852589641434262</v>
      </c>
      <c r="P41" s="52">
        <v>657</v>
      </c>
      <c r="Q41" s="41">
        <f t="shared" si="27"/>
        <v>0.6066481994459834</v>
      </c>
      <c r="R41" s="52">
        <v>4</v>
      </c>
      <c r="S41" s="39">
        <f t="shared" si="28"/>
      </c>
      <c r="T41" s="52">
        <v>0</v>
      </c>
      <c r="U41" s="41">
        <f t="shared" si="29"/>
      </c>
      <c r="V41" s="52">
        <v>0</v>
      </c>
      <c r="W41" s="41">
        <f t="shared" si="30"/>
      </c>
      <c r="X41" s="52">
        <v>0</v>
      </c>
      <c r="Y41" s="41">
        <f t="shared" si="31"/>
      </c>
      <c r="Z41" s="52">
        <v>1285</v>
      </c>
      <c r="AA41" s="40">
        <f t="shared" si="32"/>
        <v>0.6713688610240335</v>
      </c>
    </row>
    <row r="42" spans="1:27" ht="23.25" customHeight="1">
      <c r="A42" s="23" t="s">
        <v>74</v>
      </c>
      <c r="B42" s="37">
        <v>79</v>
      </c>
      <c r="C42" s="40">
        <f t="shared" si="21"/>
        <v>1.5192307692307692</v>
      </c>
      <c r="D42" s="52">
        <v>0</v>
      </c>
      <c r="E42" s="40">
        <f t="shared" si="22"/>
      </c>
      <c r="F42" s="52">
        <v>2</v>
      </c>
      <c r="G42" s="41">
        <f t="shared" si="23"/>
        <v>0.15384615384615385</v>
      </c>
      <c r="H42" s="52">
        <v>103</v>
      </c>
      <c r="I42" s="40">
        <f t="shared" si="33"/>
        <v>1.271604938271605</v>
      </c>
      <c r="J42" s="52">
        <v>100</v>
      </c>
      <c r="K42" s="41">
        <f t="shared" si="24"/>
        <v>0.8547008547008547</v>
      </c>
      <c r="L42" s="52">
        <v>131</v>
      </c>
      <c r="M42" s="41">
        <f t="shared" si="25"/>
        <v>0.6931216931216931</v>
      </c>
      <c r="N42" s="52">
        <v>150</v>
      </c>
      <c r="O42" s="41">
        <f t="shared" si="26"/>
        <v>0.872093023255814</v>
      </c>
      <c r="P42" s="52">
        <v>1060</v>
      </c>
      <c r="Q42" s="41">
        <f t="shared" si="27"/>
        <v>1.613394216133942</v>
      </c>
      <c r="R42" s="52">
        <v>4</v>
      </c>
      <c r="S42" s="41">
        <f t="shared" si="28"/>
        <v>1</v>
      </c>
      <c r="T42" s="52">
        <v>0</v>
      </c>
      <c r="U42" s="41">
        <f t="shared" si="29"/>
      </c>
      <c r="V42" s="52">
        <v>0</v>
      </c>
      <c r="W42" s="41">
        <f t="shared" si="30"/>
      </c>
      <c r="X42" s="52">
        <v>0</v>
      </c>
      <c r="Y42" s="41">
        <f t="shared" si="31"/>
      </c>
      <c r="Z42" s="52">
        <v>1629</v>
      </c>
      <c r="AA42" s="40">
        <f t="shared" si="32"/>
        <v>1.267704280155642</v>
      </c>
    </row>
    <row r="43" spans="1:27" ht="23.25" customHeight="1">
      <c r="A43" s="23" t="s">
        <v>75</v>
      </c>
      <c r="B43" s="37">
        <v>71</v>
      </c>
      <c r="C43" s="40">
        <f t="shared" si="21"/>
        <v>0.8987341772151899</v>
      </c>
      <c r="D43" s="42">
        <v>0</v>
      </c>
      <c r="E43" s="40">
        <f t="shared" si="22"/>
      </c>
      <c r="F43" s="52">
        <v>15</v>
      </c>
      <c r="G43" s="41">
        <f t="shared" si="23"/>
        <v>7.5</v>
      </c>
      <c r="H43" s="52">
        <v>69</v>
      </c>
      <c r="I43" s="40">
        <f t="shared" si="33"/>
        <v>0.6699029126213593</v>
      </c>
      <c r="J43" s="52">
        <v>101</v>
      </c>
      <c r="K43" s="41">
        <f t="shared" si="24"/>
        <v>1.01</v>
      </c>
      <c r="L43" s="52">
        <v>200</v>
      </c>
      <c r="M43" s="41">
        <f t="shared" si="25"/>
        <v>1.5267175572519085</v>
      </c>
      <c r="N43" s="52">
        <v>167</v>
      </c>
      <c r="O43" s="41">
        <f t="shared" si="26"/>
        <v>1.1133333333333333</v>
      </c>
      <c r="P43" s="52">
        <v>1320</v>
      </c>
      <c r="Q43" s="41">
        <f t="shared" si="27"/>
        <v>1.2452830188679245</v>
      </c>
      <c r="R43" s="52">
        <v>3</v>
      </c>
      <c r="S43" s="41">
        <f t="shared" si="28"/>
        <v>0.75</v>
      </c>
      <c r="T43" s="52">
        <v>0</v>
      </c>
      <c r="U43" s="41">
        <f t="shared" si="29"/>
      </c>
      <c r="V43" s="52">
        <v>0</v>
      </c>
      <c r="W43" s="41">
        <f t="shared" si="30"/>
      </c>
      <c r="X43" s="52">
        <v>0</v>
      </c>
      <c r="Y43" s="41">
        <f t="shared" si="31"/>
      </c>
      <c r="Z43" s="52">
        <v>1946</v>
      </c>
      <c r="AA43" s="40">
        <f t="shared" si="32"/>
        <v>1.194597912829957</v>
      </c>
    </row>
    <row r="44" spans="1:27" ht="23.25" customHeight="1">
      <c r="A44" s="23" t="s">
        <v>76</v>
      </c>
      <c r="B44" s="37">
        <v>122</v>
      </c>
      <c r="C44" s="40">
        <f t="shared" si="21"/>
        <v>1.7183098591549295</v>
      </c>
      <c r="D44" s="42">
        <v>2</v>
      </c>
      <c r="E44" s="40">
        <f t="shared" si="22"/>
      </c>
      <c r="F44" s="52">
        <v>5</v>
      </c>
      <c r="G44" s="41">
        <f t="shared" si="23"/>
        <v>0.3333333333333333</v>
      </c>
      <c r="H44" s="52">
        <v>44</v>
      </c>
      <c r="I44" s="40">
        <f t="shared" si="33"/>
        <v>0.6376811594202898</v>
      </c>
      <c r="J44" s="52">
        <v>137</v>
      </c>
      <c r="K44" s="41">
        <f t="shared" si="24"/>
        <v>1.3564356435643565</v>
      </c>
      <c r="L44" s="52">
        <v>128</v>
      </c>
      <c r="M44" s="41">
        <f t="shared" si="25"/>
        <v>0.64</v>
      </c>
      <c r="N44" s="52">
        <v>245</v>
      </c>
      <c r="O44" s="41">
        <f t="shared" si="26"/>
        <v>1.467065868263473</v>
      </c>
      <c r="P44" s="52">
        <v>1120</v>
      </c>
      <c r="Q44" s="41">
        <f t="shared" si="27"/>
        <v>0.8484848484848485</v>
      </c>
      <c r="R44" s="52">
        <v>23</v>
      </c>
      <c r="S44" s="41">
        <f t="shared" si="28"/>
        <v>7.666666666666667</v>
      </c>
      <c r="T44" s="52">
        <v>0</v>
      </c>
      <c r="U44" s="41">
        <f t="shared" si="29"/>
      </c>
      <c r="V44" s="52">
        <v>0</v>
      </c>
      <c r="W44" s="41">
        <f t="shared" si="30"/>
      </c>
      <c r="X44" s="52">
        <v>36</v>
      </c>
      <c r="Y44" s="41">
        <f t="shared" si="31"/>
      </c>
      <c r="Z44" s="52">
        <v>1862</v>
      </c>
      <c r="AA44" s="40">
        <f t="shared" si="32"/>
        <v>0.9568345323741008</v>
      </c>
    </row>
    <row r="45" spans="1:27" ht="23.25" customHeight="1">
      <c r="A45" s="23" t="s">
        <v>77</v>
      </c>
      <c r="B45" s="37">
        <v>85</v>
      </c>
      <c r="C45" s="40">
        <f t="shared" si="21"/>
        <v>0.6967213114754098</v>
      </c>
      <c r="D45" s="42">
        <v>0</v>
      </c>
      <c r="E45" s="40">
        <f t="shared" si="22"/>
        <v>0</v>
      </c>
      <c r="F45" s="52">
        <v>13</v>
      </c>
      <c r="G45" s="40">
        <f t="shared" si="23"/>
        <v>2.6</v>
      </c>
      <c r="H45" s="52">
        <v>32</v>
      </c>
      <c r="I45" s="40">
        <f t="shared" si="33"/>
        <v>0.7272727272727273</v>
      </c>
      <c r="J45" s="52">
        <v>103</v>
      </c>
      <c r="K45" s="40">
        <f t="shared" si="24"/>
        <v>0.7518248175182481</v>
      </c>
      <c r="L45" s="52">
        <v>116</v>
      </c>
      <c r="M45" s="40">
        <f t="shared" si="25"/>
        <v>0.90625</v>
      </c>
      <c r="N45" s="52">
        <v>327</v>
      </c>
      <c r="O45" s="40">
        <f t="shared" si="26"/>
        <v>1.3346938775510204</v>
      </c>
      <c r="P45" s="52">
        <v>1123</v>
      </c>
      <c r="Q45" s="40">
        <f t="shared" si="27"/>
        <v>1.0026785714285715</v>
      </c>
      <c r="R45" s="52">
        <v>38</v>
      </c>
      <c r="S45" s="40">
        <f t="shared" si="28"/>
        <v>1.6521739130434783</v>
      </c>
      <c r="T45" s="52">
        <v>0</v>
      </c>
      <c r="U45" s="40">
        <f t="shared" si="29"/>
      </c>
      <c r="V45" s="52">
        <v>0</v>
      </c>
      <c r="W45" s="40">
        <f t="shared" si="30"/>
      </c>
      <c r="X45" s="52">
        <v>153</v>
      </c>
      <c r="Y45" s="40">
        <f t="shared" si="31"/>
        <v>4.25</v>
      </c>
      <c r="Z45" s="52">
        <v>1990</v>
      </c>
      <c r="AA45" s="40">
        <f t="shared" si="32"/>
        <v>1.0687432867883995</v>
      </c>
    </row>
    <row r="46" spans="1:27" s="51" customFormat="1" ht="23.25" customHeight="1">
      <c r="A46" s="63" t="s">
        <v>98</v>
      </c>
      <c r="B46" s="64">
        <v>38</v>
      </c>
      <c r="C46" s="65">
        <f t="shared" si="21"/>
        <v>0.4470588235294118</v>
      </c>
      <c r="D46" s="64">
        <v>1</v>
      </c>
      <c r="E46" s="65">
        <f t="shared" si="22"/>
      </c>
      <c r="F46" s="52">
        <v>3</v>
      </c>
      <c r="G46" s="65">
        <f t="shared" si="23"/>
        <v>0.23076923076923078</v>
      </c>
      <c r="H46" s="52">
        <v>18</v>
      </c>
      <c r="I46" s="65">
        <f t="shared" si="33"/>
        <v>0.5625</v>
      </c>
      <c r="J46" s="52">
        <v>97</v>
      </c>
      <c r="K46" s="65">
        <f t="shared" si="24"/>
        <v>0.941747572815534</v>
      </c>
      <c r="L46" s="52">
        <v>111</v>
      </c>
      <c r="M46" s="65">
        <f t="shared" si="25"/>
        <v>0.9568965517241379</v>
      </c>
      <c r="N46" s="52">
        <v>89</v>
      </c>
      <c r="O46" s="65">
        <f t="shared" si="26"/>
        <v>0.27217125382262997</v>
      </c>
      <c r="P46" s="52">
        <v>905</v>
      </c>
      <c r="Q46" s="65">
        <f t="shared" si="27"/>
        <v>0.8058771148708815</v>
      </c>
      <c r="R46" s="52">
        <v>25</v>
      </c>
      <c r="S46" s="65">
        <f t="shared" si="28"/>
        <v>0.6578947368421053</v>
      </c>
      <c r="T46" s="52">
        <v>0</v>
      </c>
      <c r="U46" s="65">
        <f t="shared" si="29"/>
      </c>
      <c r="V46" s="52">
        <v>0</v>
      </c>
      <c r="W46" s="65">
        <f t="shared" si="30"/>
      </c>
      <c r="X46" s="52">
        <v>6</v>
      </c>
      <c r="Y46" s="65">
        <f t="shared" si="31"/>
        <v>0.0392156862745098</v>
      </c>
      <c r="Z46" s="52">
        <v>1293</v>
      </c>
      <c r="AA46" s="65">
        <f t="shared" si="32"/>
        <v>0.6497487437185929</v>
      </c>
    </row>
    <row r="47" spans="1:27" ht="23.25" customHeight="1">
      <c r="A47" s="23" t="s">
        <v>145</v>
      </c>
      <c r="B47" s="37">
        <v>333</v>
      </c>
      <c r="C47" s="40">
        <f t="shared" si="21"/>
        <v>8.763157894736842</v>
      </c>
      <c r="D47" s="37">
        <v>1</v>
      </c>
      <c r="E47" s="40">
        <f t="shared" si="22"/>
        <v>1</v>
      </c>
      <c r="F47" s="52">
        <v>12</v>
      </c>
      <c r="G47" s="40">
        <f t="shared" si="23"/>
        <v>4</v>
      </c>
      <c r="H47" s="52">
        <v>25</v>
      </c>
      <c r="I47" s="40">
        <f t="shared" si="33"/>
        <v>1.3888888888888888</v>
      </c>
      <c r="J47" s="52">
        <v>123</v>
      </c>
      <c r="K47" s="40">
        <f t="shared" si="24"/>
        <v>1.268041237113402</v>
      </c>
      <c r="L47" s="52">
        <v>148</v>
      </c>
      <c r="M47" s="40">
        <f t="shared" si="25"/>
        <v>1.3333333333333333</v>
      </c>
      <c r="N47" s="52">
        <v>188</v>
      </c>
      <c r="O47" s="40">
        <f t="shared" si="26"/>
        <v>2.1123595505617976</v>
      </c>
      <c r="P47" s="52">
        <v>3007</v>
      </c>
      <c r="Q47" s="40">
        <f t="shared" si="27"/>
        <v>3.3226519337016573</v>
      </c>
      <c r="R47" s="52">
        <v>109</v>
      </c>
      <c r="S47" s="40">
        <f t="shared" si="28"/>
        <v>4.36</v>
      </c>
      <c r="T47" s="52">
        <v>2</v>
      </c>
      <c r="U47" s="40">
        <f t="shared" si="29"/>
      </c>
      <c r="V47" s="52">
        <v>4</v>
      </c>
      <c r="W47" s="40">
        <f t="shared" si="30"/>
      </c>
      <c r="X47" s="52">
        <v>95</v>
      </c>
      <c r="Y47" s="40">
        <f t="shared" si="31"/>
        <v>15.833333333333334</v>
      </c>
      <c r="Z47" s="52">
        <v>4047</v>
      </c>
      <c r="AA47" s="40">
        <f t="shared" si="32"/>
        <v>3.1299303944315544</v>
      </c>
    </row>
    <row r="48" spans="1:27" ht="23.25" customHeight="1">
      <c r="A48" s="23" t="s">
        <v>153</v>
      </c>
      <c r="B48" s="37">
        <v>89</v>
      </c>
      <c r="C48" s="40">
        <f t="shared" si="21"/>
        <v>0.2672672672672673</v>
      </c>
      <c r="D48" s="37">
        <v>3</v>
      </c>
      <c r="E48" s="40">
        <f t="shared" si="22"/>
        <v>3</v>
      </c>
      <c r="F48" s="52">
        <v>47</v>
      </c>
      <c r="G48" s="40">
        <f t="shared" si="23"/>
        <v>3.9166666666666665</v>
      </c>
      <c r="H48" s="52">
        <v>5</v>
      </c>
      <c r="I48" s="40">
        <f t="shared" si="33"/>
        <v>0.2</v>
      </c>
      <c r="J48" s="52">
        <v>113</v>
      </c>
      <c r="K48" s="40">
        <f t="shared" si="24"/>
        <v>0.9186991869918699</v>
      </c>
      <c r="L48" s="52">
        <v>194</v>
      </c>
      <c r="M48" s="40">
        <f t="shared" si="25"/>
        <v>1.3108108108108107</v>
      </c>
      <c r="N48" s="52">
        <v>160</v>
      </c>
      <c r="O48" s="40">
        <f t="shared" si="26"/>
        <v>0.851063829787234</v>
      </c>
      <c r="P48" s="52">
        <v>1478</v>
      </c>
      <c r="Q48" s="40">
        <f t="shared" si="27"/>
        <v>0.49151978716328565</v>
      </c>
      <c r="R48" s="52">
        <v>225</v>
      </c>
      <c r="S48" s="40">
        <f t="shared" si="28"/>
        <v>2.0642201834862384</v>
      </c>
      <c r="T48" s="52">
        <v>20</v>
      </c>
      <c r="U48" s="40">
        <f t="shared" si="29"/>
        <v>10</v>
      </c>
      <c r="V48" s="52">
        <v>35</v>
      </c>
      <c r="W48" s="40">
        <f t="shared" si="30"/>
        <v>8.75</v>
      </c>
      <c r="X48" s="52">
        <v>123</v>
      </c>
      <c r="Y48" s="40">
        <f t="shared" si="31"/>
        <v>1.2947368421052632</v>
      </c>
      <c r="Z48" s="52">
        <v>2502</v>
      </c>
      <c r="AA48" s="40">
        <f t="shared" si="32"/>
        <v>0.6182357301704967</v>
      </c>
    </row>
    <row r="49" spans="1:27" ht="23.25" customHeight="1">
      <c r="A49" s="23" t="s">
        <v>165</v>
      </c>
      <c r="B49" s="37">
        <v>88</v>
      </c>
      <c r="C49" s="40">
        <f aca="true" t="shared" si="34" ref="C49:C54">IF(B48=0,"",B49/B48)</f>
        <v>0.9887640449438202</v>
      </c>
      <c r="D49" s="37">
        <v>3</v>
      </c>
      <c r="E49" s="40">
        <f aca="true" t="shared" si="35" ref="E49:E54">IF(D48=0,"",D49/D48)</f>
        <v>1</v>
      </c>
      <c r="F49" s="52">
        <v>71</v>
      </c>
      <c r="G49" s="40">
        <f aca="true" t="shared" si="36" ref="G49:G54">IF(F48=0,"",F49/F48)</f>
        <v>1.5106382978723405</v>
      </c>
      <c r="H49" s="52">
        <v>0</v>
      </c>
      <c r="I49" s="40">
        <f aca="true" t="shared" si="37" ref="I49:I54">IF(H48=0,"",H49/H48)</f>
        <v>0</v>
      </c>
      <c r="J49" s="52">
        <v>213</v>
      </c>
      <c r="K49" s="40">
        <f aca="true" t="shared" si="38" ref="K49:K54">IF(J48=0,"",J49/J48)</f>
        <v>1.8849557522123894</v>
      </c>
      <c r="L49" s="52">
        <v>220</v>
      </c>
      <c r="M49" s="40">
        <f aca="true" t="shared" si="39" ref="M49:M54">IF(L48=0,"",L49/L48)</f>
        <v>1.134020618556701</v>
      </c>
      <c r="N49" s="52">
        <v>233</v>
      </c>
      <c r="O49" s="40">
        <f aca="true" t="shared" si="40" ref="O49:O54">IF(N48=0,"",N49/N48)</f>
        <v>1.45625</v>
      </c>
      <c r="P49" s="52">
        <v>1993</v>
      </c>
      <c r="Q49" s="40">
        <f aca="true" t="shared" si="41" ref="Q49:Q54">IF(P48=0,"",P49/P48)</f>
        <v>1.3484438430311232</v>
      </c>
      <c r="R49" s="52">
        <v>383</v>
      </c>
      <c r="S49" s="40">
        <f aca="true" t="shared" si="42" ref="S49:S54">IF(R48=0,"",R49/R48)</f>
        <v>1.7022222222222223</v>
      </c>
      <c r="T49" s="52">
        <v>18</v>
      </c>
      <c r="U49" s="40">
        <f aca="true" t="shared" si="43" ref="U49:U54">IF(T48=0,"",T49/T48)</f>
        <v>0.9</v>
      </c>
      <c r="V49" s="52">
        <v>33</v>
      </c>
      <c r="W49" s="40">
        <f aca="true" t="shared" si="44" ref="W49:W54">IF(V48=0,"",V49/V48)</f>
        <v>0.9428571428571428</v>
      </c>
      <c r="X49" s="52">
        <v>83</v>
      </c>
      <c r="Y49" s="40">
        <f aca="true" t="shared" si="45" ref="Y49:Y54">IF(X48=0,"",X49/X48)</f>
        <v>0.6747967479674797</v>
      </c>
      <c r="Z49" s="52">
        <v>3344</v>
      </c>
      <c r="AA49" s="40">
        <f aca="true" t="shared" si="46" ref="AA49:AA54">IF(Z48=0,"",Z49/Z48)</f>
        <v>1.3365307753796962</v>
      </c>
    </row>
    <row r="50" spans="1:27" ht="23.25" customHeight="1">
      <c r="A50" s="23" t="s">
        <v>180</v>
      </c>
      <c r="B50" s="37">
        <v>83</v>
      </c>
      <c r="C50" s="40">
        <f t="shared" si="34"/>
        <v>0.9431818181818182</v>
      </c>
      <c r="D50" s="37">
        <v>8</v>
      </c>
      <c r="E50" s="40">
        <f t="shared" si="35"/>
        <v>2.6666666666666665</v>
      </c>
      <c r="F50" s="52">
        <v>269</v>
      </c>
      <c r="G50" s="40">
        <f t="shared" si="36"/>
        <v>3.788732394366197</v>
      </c>
      <c r="H50" s="52">
        <v>2</v>
      </c>
      <c r="I50" s="40">
        <f t="shared" si="37"/>
      </c>
      <c r="J50" s="52">
        <v>230</v>
      </c>
      <c r="K50" s="40">
        <f t="shared" si="38"/>
        <v>1.07981220657277</v>
      </c>
      <c r="L50" s="52">
        <v>247</v>
      </c>
      <c r="M50" s="40">
        <f t="shared" si="39"/>
        <v>1.1227272727272728</v>
      </c>
      <c r="N50" s="52">
        <v>362</v>
      </c>
      <c r="O50" s="40">
        <f t="shared" si="40"/>
        <v>1.553648068669528</v>
      </c>
      <c r="P50" s="52">
        <v>2728</v>
      </c>
      <c r="Q50" s="40">
        <f t="shared" si="41"/>
        <v>1.3687907676869042</v>
      </c>
      <c r="R50" s="52">
        <v>673</v>
      </c>
      <c r="S50" s="40">
        <f t="shared" si="42"/>
        <v>1.7571801566579635</v>
      </c>
      <c r="T50" s="52">
        <v>21</v>
      </c>
      <c r="U50" s="40">
        <f t="shared" si="43"/>
        <v>1.1666666666666667</v>
      </c>
      <c r="V50" s="52">
        <v>65</v>
      </c>
      <c r="W50" s="40">
        <f t="shared" si="44"/>
        <v>1.9696969696969697</v>
      </c>
      <c r="X50" s="52">
        <v>239</v>
      </c>
      <c r="Y50" s="40">
        <f t="shared" si="45"/>
        <v>2.8795180722891565</v>
      </c>
      <c r="Z50" s="52">
        <v>4943</v>
      </c>
      <c r="AA50" s="40">
        <f t="shared" si="46"/>
        <v>1.4781698564593302</v>
      </c>
    </row>
    <row r="51" spans="1:27" ht="23.25" customHeight="1">
      <c r="A51" s="23" t="s">
        <v>187</v>
      </c>
      <c r="B51" s="37">
        <v>251</v>
      </c>
      <c r="C51" s="40">
        <f t="shared" si="34"/>
        <v>3.0240963855421685</v>
      </c>
      <c r="D51" s="37">
        <v>6</v>
      </c>
      <c r="E51" s="40">
        <f t="shared" si="35"/>
        <v>0.75</v>
      </c>
      <c r="F51" s="52">
        <v>255</v>
      </c>
      <c r="G51" s="40">
        <f t="shared" si="36"/>
        <v>0.9479553903345725</v>
      </c>
      <c r="H51" s="52">
        <v>0</v>
      </c>
      <c r="I51" s="40">
        <f t="shared" si="37"/>
        <v>0</v>
      </c>
      <c r="J51" s="52">
        <v>392</v>
      </c>
      <c r="K51" s="40">
        <f t="shared" si="38"/>
        <v>1.7043478260869565</v>
      </c>
      <c r="L51" s="52">
        <v>458</v>
      </c>
      <c r="M51" s="40">
        <f t="shared" si="39"/>
        <v>1.854251012145749</v>
      </c>
      <c r="N51" s="52">
        <v>470</v>
      </c>
      <c r="O51" s="40">
        <f t="shared" si="40"/>
        <v>1.298342541436464</v>
      </c>
      <c r="P51" s="52">
        <v>3165</v>
      </c>
      <c r="Q51" s="40">
        <f t="shared" si="41"/>
        <v>1.160190615835777</v>
      </c>
      <c r="R51" s="52">
        <v>688</v>
      </c>
      <c r="S51" s="40">
        <f t="shared" si="42"/>
        <v>1.0222882615156017</v>
      </c>
      <c r="T51" s="52">
        <v>34</v>
      </c>
      <c r="U51" s="40">
        <f t="shared" si="43"/>
        <v>1.619047619047619</v>
      </c>
      <c r="V51" s="52">
        <v>122</v>
      </c>
      <c r="W51" s="40">
        <f t="shared" si="44"/>
        <v>1.876923076923077</v>
      </c>
      <c r="X51" s="52">
        <v>148</v>
      </c>
      <c r="Y51" s="40">
        <f t="shared" si="45"/>
        <v>0.6192468619246861</v>
      </c>
      <c r="Z51" s="52">
        <v>6025</v>
      </c>
      <c r="AA51" s="40">
        <f t="shared" si="46"/>
        <v>1.2188954076471779</v>
      </c>
    </row>
    <row r="52" spans="1:27" ht="23.25" customHeight="1">
      <c r="A52" s="23" t="s">
        <v>208</v>
      </c>
      <c r="B52" s="37">
        <v>54</v>
      </c>
      <c r="C52" s="40">
        <f t="shared" si="34"/>
        <v>0.2151394422310757</v>
      </c>
      <c r="D52" s="37">
        <v>7</v>
      </c>
      <c r="E52" s="40">
        <f t="shared" si="35"/>
        <v>1.1666666666666667</v>
      </c>
      <c r="F52" s="52">
        <v>273</v>
      </c>
      <c r="G52" s="40">
        <f t="shared" si="36"/>
        <v>1.0705882352941176</v>
      </c>
      <c r="H52" s="52">
        <v>0</v>
      </c>
      <c r="I52" s="40">
        <f t="shared" si="37"/>
      </c>
      <c r="J52" s="52">
        <v>431</v>
      </c>
      <c r="K52" s="40">
        <f t="shared" si="38"/>
        <v>1.0994897959183674</v>
      </c>
      <c r="L52" s="52">
        <v>489</v>
      </c>
      <c r="M52" s="40">
        <f t="shared" si="39"/>
        <v>1.0676855895196506</v>
      </c>
      <c r="N52" s="52">
        <v>432</v>
      </c>
      <c r="O52" s="40">
        <f t="shared" si="40"/>
        <v>0.9191489361702128</v>
      </c>
      <c r="P52" s="52">
        <v>2743</v>
      </c>
      <c r="Q52" s="40">
        <f t="shared" si="41"/>
        <v>0.8666666666666667</v>
      </c>
      <c r="R52" s="52">
        <v>557</v>
      </c>
      <c r="S52" s="40">
        <f t="shared" si="42"/>
        <v>0.809593023255814</v>
      </c>
      <c r="T52" s="52">
        <v>35</v>
      </c>
      <c r="U52" s="40">
        <f t="shared" si="43"/>
        <v>1.0294117647058822</v>
      </c>
      <c r="V52" s="52">
        <v>91</v>
      </c>
      <c r="W52" s="40">
        <f t="shared" si="44"/>
        <v>0.7459016393442623</v>
      </c>
      <c r="X52" s="52">
        <v>101</v>
      </c>
      <c r="Y52" s="40">
        <f t="shared" si="45"/>
        <v>0.6824324324324325</v>
      </c>
      <c r="Z52" s="52">
        <v>5262</v>
      </c>
      <c r="AA52" s="40">
        <f t="shared" si="46"/>
        <v>0.8733609958506224</v>
      </c>
    </row>
    <row r="53" spans="1:27" ht="23.25" customHeight="1">
      <c r="A53" s="23" t="s">
        <v>211</v>
      </c>
      <c r="B53" s="37">
        <v>291</v>
      </c>
      <c r="C53" s="40">
        <f t="shared" si="34"/>
        <v>5.388888888888889</v>
      </c>
      <c r="D53" s="37">
        <v>7</v>
      </c>
      <c r="E53" s="40">
        <f t="shared" si="35"/>
        <v>1</v>
      </c>
      <c r="F53" s="52">
        <v>673</v>
      </c>
      <c r="G53" s="40">
        <f t="shared" si="36"/>
        <v>2.4652014652014653</v>
      </c>
      <c r="H53" s="52">
        <v>0</v>
      </c>
      <c r="I53" s="40">
        <f t="shared" si="37"/>
      </c>
      <c r="J53" s="52">
        <v>568</v>
      </c>
      <c r="K53" s="40">
        <f t="shared" si="38"/>
        <v>1.3178654292343388</v>
      </c>
      <c r="L53" s="52">
        <v>654</v>
      </c>
      <c r="M53" s="40">
        <f t="shared" si="39"/>
        <v>1.3374233128834356</v>
      </c>
      <c r="N53" s="52">
        <v>672</v>
      </c>
      <c r="O53" s="40">
        <f t="shared" si="40"/>
        <v>1.5555555555555556</v>
      </c>
      <c r="P53" s="52">
        <v>3924</v>
      </c>
      <c r="Q53" s="40">
        <f t="shared" si="41"/>
        <v>1.4305504921618666</v>
      </c>
      <c r="R53" s="52">
        <v>1087</v>
      </c>
      <c r="S53" s="40">
        <f t="shared" si="42"/>
        <v>1.9515260323159784</v>
      </c>
      <c r="T53" s="52">
        <v>32</v>
      </c>
      <c r="U53" s="40">
        <f t="shared" si="43"/>
        <v>0.9142857142857143</v>
      </c>
      <c r="V53" s="52">
        <v>167</v>
      </c>
      <c r="W53" s="40">
        <f t="shared" si="44"/>
        <v>1.835164835164835</v>
      </c>
      <c r="X53" s="52">
        <v>129</v>
      </c>
      <c r="Y53" s="40">
        <f t="shared" si="45"/>
        <v>1.2772277227722773</v>
      </c>
      <c r="Z53" s="52">
        <v>8275</v>
      </c>
      <c r="AA53" s="40">
        <f t="shared" si="46"/>
        <v>1.572595971113645</v>
      </c>
    </row>
    <row r="54" spans="1:27" ht="23.25" customHeight="1">
      <c r="A54" s="23" t="s">
        <v>216</v>
      </c>
      <c r="B54" s="37">
        <v>79</v>
      </c>
      <c r="C54" s="40">
        <f t="shared" si="34"/>
        <v>0.27147766323024053</v>
      </c>
      <c r="D54" s="37">
        <v>11</v>
      </c>
      <c r="E54" s="40">
        <f t="shared" si="35"/>
        <v>1.5714285714285714</v>
      </c>
      <c r="F54" s="52">
        <v>646</v>
      </c>
      <c r="G54" s="40">
        <f t="shared" si="36"/>
        <v>0.9598811292719168</v>
      </c>
      <c r="H54" s="52">
        <v>0</v>
      </c>
      <c r="I54" s="40">
        <f t="shared" si="37"/>
      </c>
      <c r="J54" s="52">
        <v>854</v>
      </c>
      <c r="K54" s="40">
        <f t="shared" si="38"/>
        <v>1.5035211267605635</v>
      </c>
      <c r="L54" s="52">
        <v>911</v>
      </c>
      <c r="M54" s="40">
        <f t="shared" si="39"/>
        <v>1.392966360856269</v>
      </c>
      <c r="N54" s="52">
        <v>497</v>
      </c>
      <c r="O54" s="40">
        <f t="shared" si="40"/>
        <v>0.7395833333333334</v>
      </c>
      <c r="P54" s="52">
        <v>2676</v>
      </c>
      <c r="Q54" s="40">
        <f t="shared" si="41"/>
        <v>0.6819571865443425</v>
      </c>
      <c r="R54" s="52">
        <v>1146</v>
      </c>
      <c r="S54" s="40">
        <f t="shared" si="42"/>
        <v>1.0542778288868446</v>
      </c>
      <c r="T54" s="52">
        <v>48</v>
      </c>
      <c r="U54" s="40">
        <f t="shared" si="43"/>
        <v>1.5</v>
      </c>
      <c r="V54" s="52">
        <v>206</v>
      </c>
      <c r="W54" s="40">
        <f t="shared" si="44"/>
        <v>1.2335329341317365</v>
      </c>
      <c r="X54" s="52">
        <v>51</v>
      </c>
      <c r="Y54" s="40">
        <f t="shared" si="45"/>
        <v>0.3953488372093023</v>
      </c>
      <c r="Z54" s="52">
        <v>7189</v>
      </c>
      <c r="AA54" s="40">
        <f t="shared" si="46"/>
        <v>0.8687613293051359</v>
      </c>
    </row>
    <row r="55" spans="1:27" ht="23.25" customHeight="1">
      <c r="A55" s="23" t="s">
        <v>218</v>
      </c>
      <c r="B55" s="64">
        <v>248</v>
      </c>
      <c r="C55" s="40">
        <f>IF(B54=0,"",B55/B54)</f>
        <v>3.1392405063291138</v>
      </c>
      <c r="D55" s="37">
        <v>17</v>
      </c>
      <c r="E55" s="40">
        <f>IF(D54=0,"",D55/D54)</f>
        <v>1.5454545454545454</v>
      </c>
      <c r="F55" s="52">
        <v>790</v>
      </c>
      <c r="G55" s="40">
        <f>IF(F54=0,"",F55/F54)</f>
        <v>1.2229102167182662</v>
      </c>
      <c r="H55" s="52">
        <v>0</v>
      </c>
      <c r="I55" s="40">
        <f>IF(H54=0,"",H55/H54)</f>
      </c>
      <c r="J55" s="52">
        <v>1203</v>
      </c>
      <c r="K55" s="40">
        <f>IF(J54=0,"",J55/J54)</f>
        <v>1.4086651053864168</v>
      </c>
      <c r="L55" s="52">
        <v>1151</v>
      </c>
      <c r="M55" s="40">
        <f>IF(L54=0,"",L55/L54)</f>
        <v>1.2634467618002196</v>
      </c>
      <c r="N55" s="52">
        <v>1071</v>
      </c>
      <c r="O55" s="40">
        <f>IF(N54=0,"",N55/N54)</f>
        <v>2.1549295774647885</v>
      </c>
      <c r="P55" s="52">
        <v>4809</v>
      </c>
      <c r="Q55" s="40">
        <f>IF(P54=0,"",P55/P54)</f>
        <v>1.797085201793722</v>
      </c>
      <c r="R55" s="52">
        <v>1355</v>
      </c>
      <c r="S55" s="40">
        <f>IF(R54=0,"",R55/R54)</f>
        <v>1.182373472949389</v>
      </c>
      <c r="T55" s="52">
        <v>45</v>
      </c>
      <c r="U55" s="40">
        <f>IF(T54=0,"",T55/T54)</f>
        <v>0.9375</v>
      </c>
      <c r="V55" s="52">
        <v>335</v>
      </c>
      <c r="W55" s="40">
        <f>IF(V54=0,"",V55/V54)</f>
        <v>1.6262135922330097</v>
      </c>
      <c r="X55" s="52">
        <v>59</v>
      </c>
      <c r="Y55" s="40">
        <f>IF(X54=0,"",X55/X54)</f>
        <v>1.1568627450980393</v>
      </c>
      <c r="Z55" s="52">
        <v>11130</v>
      </c>
      <c r="AA55" s="40">
        <f>IF(Z54=0,"",Z55/Z54)</f>
        <v>1.5481986368062317</v>
      </c>
    </row>
    <row r="56" spans="1:27" ht="23.25" customHeight="1">
      <c r="A56" s="23" t="s">
        <v>221</v>
      </c>
      <c r="B56" s="64">
        <v>78</v>
      </c>
      <c r="C56" s="40">
        <f>IF(B55=0,"",B56/B55)</f>
        <v>0.31451612903225806</v>
      </c>
      <c r="D56" s="37">
        <v>20</v>
      </c>
      <c r="E56" s="40">
        <f>IF(D55=0,"",D56/D55)</f>
        <v>1.1764705882352942</v>
      </c>
      <c r="F56" s="52">
        <v>810</v>
      </c>
      <c r="G56" s="40">
        <f>IF(F55=0,"",F56/F55)</f>
        <v>1.0253164556962024</v>
      </c>
      <c r="H56" s="52">
        <v>0</v>
      </c>
      <c r="I56" s="40">
        <f>IF(H55=0,"",H56/H55)</f>
      </c>
      <c r="J56" s="52">
        <v>1327</v>
      </c>
      <c r="K56" s="40">
        <f>IF(J55=0,"",J56/J55)</f>
        <v>1.1030756442227765</v>
      </c>
      <c r="L56" s="52">
        <v>1509</v>
      </c>
      <c r="M56" s="40">
        <f>IF(L55=0,"",L56/L55)</f>
        <v>1.3110338835794961</v>
      </c>
      <c r="N56" s="52">
        <v>985</v>
      </c>
      <c r="O56" s="40">
        <f>IF(N55=0,"",N56/N55)</f>
        <v>0.9197012138188608</v>
      </c>
      <c r="P56" s="52">
        <v>10535</v>
      </c>
      <c r="Q56" s="40">
        <f>IF(P55=0,"",P56/P55)</f>
        <v>2.190684133915575</v>
      </c>
      <c r="R56" s="52">
        <v>1503</v>
      </c>
      <c r="S56" s="40">
        <f>IF(R55=0,"",R56/R55)</f>
        <v>1.1092250922509226</v>
      </c>
      <c r="T56" s="52">
        <v>240</v>
      </c>
      <c r="U56" s="40">
        <f>IF(T55=0,"",T56/T55)</f>
        <v>5.333333333333333</v>
      </c>
      <c r="V56" s="52">
        <v>363</v>
      </c>
      <c r="W56" s="40">
        <f>IF(V55=0,"",V56/V55)</f>
        <v>1.0835820895522388</v>
      </c>
      <c r="X56" s="52">
        <v>51</v>
      </c>
      <c r="Y56" s="40">
        <f>IF(X55=0,"",X56/X55)</f>
        <v>0.864406779661017</v>
      </c>
      <c r="Z56" s="52">
        <v>10296</v>
      </c>
      <c r="AA56" s="40">
        <f>IF(Z55=0,"",Z56/Z55)</f>
        <v>0.925067385444744</v>
      </c>
    </row>
  </sheetData>
  <sheetProtection/>
  <mergeCells count="24">
    <mergeCell ref="J32:K32"/>
    <mergeCell ref="H3:I3"/>
    <mergeCell ref="J3:K3"/>
    <mergeCell ref="L3:M3"/>
    <mergeCell ref="A3:A4"/>
    <mergeCell ref="B3:C3"/>
    <mergeCell ref="D3:E3"/>
    <mergeCell ref="F3:G3"/>
    <mergeCell ref="X32:Y32"/>
    <mergeCell ref="P3:Q3"/>
    <mergeCell ref="R3:S3"/>
    <mergeCell ref="T3:U3"/>
    <mergeCell ref="V32:W32"/>
    <mergeCell ref="A32:A33"/>
    <mergeCell ref="B32:C32"/>
    <mergeCell ref="D32:E32"/>
    <mergeCell ref="F32:G32"/>
    <mergeCell ref="H32:I32"/>
    <mergeCell ref="T32:U32"/>
    <mergeCell ref="N32:O32"/>
    <mergeCell ref="P32:Q32"/>
    <mergeCell ref="L32:M32"/>
    <mergeCell ref="N3:O3"/>
    <mergeCell ref="R32:S32"/>
  </mergeCells>
  <conditionalFormatting sqref="B34:B56 D34:D56 F34:F56 H34:H56 J34:J56 L34:L56 N34:N56 P34:P56 R34:R56 T34:T56 V34:V56 X34:X56 Z34:Z56">
    <cfRule type="cellIs" priority="75" dxfId="0" operator="equal" stopIfTrue="1">
      <formula>MAX(B$34:B$58)</formula>
    </cfRule>
  </conditionalFormatting>
  <conditionalFormatting sqref="B5:B28 D5:D28 F5:F28 H5:H28 J5:J28 L5:L28 N5:N28 P5:P28 R5:R28 T5:T28 V5:V28">
    <cfRule type="cellIs" priority="61" dxfId="0" operator="equal" stopIfTrue="1">
      <formula>MAX(B$5:B$30)</formula>
    </cfRule>
  </conditionalFormatting>
  <printOptions horizontalCentered="1" verticalCentered="1"/>
  <pageMargins left="0.5118110236220472" right="0" top="0.3937007874015748" bottom="0.5905511811023623" header="0" footer="0"/>
  <pageSetup fitToHeight="1" fitToWidth="1"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43"/>
  <sheetViews>
    <sheetView zoomScale="85" zoomScaleNormal="85" zoomScalePageLayoutView="0" workbookViewId="0" topLeftCell="A1">
      <selection activeCell="E14" sqref="E14"/>
    </sheetView>
  </sheetViews>
  <sheetFormatPr defaultColWidth="9.00390625" defaultRowHeight="13.5"/>
  <cols>
    <col min="9" max="9" width="9.00390625" style="51" customWidth="1"/>
  </cols>
  <sheetData>
    <row r="1" spans="1:17" ht="19.5" customHeight="1">
      <c r="A1" s="1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168</v>
      </c>
      <c r="Q2" s="2"/>
    </row>
    <row r="3" spans="1:18" ht="19.5" customHeight="1">
      <c r="A3" s="83" t="s">
        <v>179</v>
      </c>
      <c r="B3" s="85" t="s">
        <v>106</v>
      </c>
      <c r="C3" s="95" t="s">
        <v>109</v>
      </c>
      <c r="D3" s="87" t="s">
        <v>108</v>
      </c>
      <c r="E3" s="88"/>
      <c r="F3" s="88"/>
      <c r="G3" s="88"/>
      <c r="H3" s="88"/>
      <c r="I3" s="88"/>
      <c r="J3" s="88"/>
      <c r="K3" s="88"/>
      <c r="L3" s="88"/>
      <c r="M3" s="89"/>
      <c r="N3" s="57"/>
      <c r="O3" s="68"/>
      <c r="P3" s="83" t="s">
        <v>100</v>
      </c>
      <c r="Q3" s="85" t="s">
        <v>106</v>
      </c>
      <c r="R3" s="61" t="s">
        <v>166</v>
      </c>
    </row>
    <row r="4" spans="1:18" ht="19.5" customHeight="1">
      <c r="A4" s="84"/>
      <c r="B4" s="86"/>
      <c r="C4" s="96"/>
      <c r="D4" s="5" t="s">
        <v>110</v>
      </c>
      <c r="E4" s="5" t="s">
        <v>4</v>
      </c>
      <c r="F4" s="5" t="s">
        <v>3</v>
      </c>
      <c r="G4" s="5" t="s">
        <v>39</v>
      </c>
      <c r="H4" s="5" t="s">
        <v>40</v>
      </c>
      <c r="I4" s="5" t="s">
        <v>6</v>
      </c>
      <c r="J4" s="16" t="s">
        <v>36</v>
      </c>
      <c r="K4" s="17" t="s">
        <v>41</v>
      </c>
      <c r="L4" s="17"/>
      <c r="M4" s="12" t="s">
        <v>115</v>
      </c>
      <c r="N4" s="66"/>
      <c r="O4" s="69"/>
      <c r="P4" s="84"/>
      <c r="Q4" s="86"/>
      <c r="R4" s="62" t="s">
        <v>167</v>
      </c>
    </row>
    <row r="5" spans="1:18" ht="19.5" customHeight="1">
      <c r="A5" s="74" t="s">
        <v>159</v>
      </c>
      <c r="B5" s="90">
        <v>49</v>
      </c>
      <c r="C5" s="80">
        <v>5</v>
      </c>
      <c r="D5" s="6">
        <v>100</v>
      </c>
      <c r="E5" s="6">
        <v>190</v>
      </c>
      <c r="F5" s="6">
        <v>10</v>
      </c>
      <c r="G5" s="6">
        <v>1396</v>
      </c>
      <c r="H5" s="6">
        <v>320</v>
      </c>
      <c r="I5" s="6">
        <v>2045</v>
      </c>
      <c r="J5" s="6">
        <v>60</v>
      </c>
      <c r="K5" s="6">
        <v>30</v>
      </c>
      <c r="L5" s="6"/>
      <c r="M5" s="7">
        <f aca="true" t="shared" si="0" ref="M5:M20">SUM(D5:L5)</f>
        <v>4151</v>
      </c>
      <c r="N5" s="66"/>
      <c r="O5" s="69"/>
      <c r="P5" s="74" t="s">
        <v>159</v>
      </c>
      <c r="Q5" s="90">
        <f>B5+B26</f>
        <v>221</v>
      </c>
      <c r="R5" s="7">
        <f aca="true" t="shared" si="1" ref="R5:R20">M5+R26</f>
        <v>8395</v>
      </c>
    </row>
    <row r="6" spans="1:18" ht="19.5" customHeight="1">
      <c r="A6" s="75"/>
      <c r="B6" s="91"/>
      <c r="C6" s="92"/>
      <c r="D6" s="9"/>
      <c r="E6" s="9">
        <v>30</v>
      </c>
      <c r="F6" s="9"/>
      <c r="G6" s="9">
        <v>176</v>
      </c>
      <c r="H6" s="9"/>
      <c r="I6" s="9">
        <v>149</v>
      </c>
      <c r="J6" s="9">
        <v>57</v>
      </c>
      <c r="K6" s="9">
        <v>22</v>
      </c>
      <c r="L6" s="9"/>
      <c r="M6" s="10">
        <f t="shared" si="0"/>
        <v>434</v>
      </c>
      <c r="N6" s="66"/>
      <c r="O6" s="69"/>
      <c r="P6" s="75"/>
      <c r="Q6" s="91"/>
      <c r="R6" s="10">
        <f t="shared" si="1"/>
        <v>1373</v>
      </c>
    </row>
    <row r="7" spans="1:18" ht="19.5" customHeight="1">
      <c r="A7" s="74" t="s">
        <v>178</v>
      </c>
      <c r="B7" s="90">
        <v>89</v>
      </c>
      <c r="C7" s="80">
        <v>2</v>
      </c>
      <c r="D7" s="6">
        <v>400</v>
      </c>
      <c r="E7" s="6">
        <v>300</v>
      </c>
      <c r="F7" s="6"/>
      <c r="G7" s="6">
        <v>11228</v>
      </c>
      <c r="H7" s="6">
        <v>1900</v>
      </c>
      <c r="I7" s="6">
        <v>1455</v>
      </c>
      <c r="J7" s="6">
        <v>700</v>
      </c>
      <c r="K7" s="6">
        <v>490</v>
      </c>
      <c r="L7" s="6"/>
      <c r="M7" s="7">
        <f t="shared" si="0"/>
        <v>16473</v>
      </c>
      <c r="N7" s="66"/>
      <c r="O7" s="69"/>
      <c r="P7" s="74" t="s">
        <v>178</v>
      </c>
      <c r="Q7" s="90">
        <f>B7+B28</f>
        <v>423</v>
      </c>
      <c r="R7" s="7">
        <f t="shared" si="1"/>
        <v>24137</v>
      </c>
    </row>
    <row r="8" spans="1:18" ht="19.5" customHeight="1">
      <c r="A8" s="75"/>
      <c r="B8" s="91"/>
      <c r="C8" s="92"/>
      <c r="D8" s="9">
        <v>76</v>
      </c>
      <c r="E8" s="9"/>
      <c r="F8" s="9"/>
      <c r="G8" s="9">
        <v>1672</v>
      </c>
      <c r="H8" s="9">
        <v>65</v>
      </c>
      <c r="I8" s="9">
        <v>433</v>
      </c>
      <c r="J8" s="9"/>
      <c r="K8" s="9">
        <v>87</v>
      </c>
      <c r="L8" s="9"/>
      <c r="M8" s="10">
        <f t="shared" si="0"/>
        <v>2333</v>
      </c>
      <c r="N8" s="66"/>
      <c r="O8" s="69"/>
      <c r="P8" s="75"/>
      <c r="Q8" s="91"/>
      <c r="R8" s="10">
        <f t="shared" si="1"/>
        <v>4386</v>
      </c>
    </row>
    <row r="9" spans="1:18" ht="19.5" customHeight="1">
      <c r="A9" s="74" t="s">
        <v>118</v>
      </c>
      <c r="B9" s="90">
        <v>15</v>
      </c>
      <c r="C9" s="80">
        <v>2</v>
      </c>
      <c r="D9" s="6"/>
      <c r="E9" s="6"/>
      <c r="F9" s="6"/>
      <c r="G9" s="6">
        <v>322</v>
      </c>
      <c r="H9" s="6"/>
      <c r="I9" s="6"/>
      <c r="J9" s="6"/>
      <c r="K9" s="6">
        <v>380</v>
      </c>
      <c r="L9" s="6"/>
      <c r="M9" s="7">
        <f t="shared" si="0"/>
        <v>702</v>
      </c>
      <c r="N9" s="66"/>
      <c r="O9" s="69"/>
      <c r="P9" s="74" t="s">
        <v>118</v>
      </c>
      <c r="Q9" s="90">
        <f>B9+B30</f>
        <v>107</v>
      </c>
      <c r="R9" s="7">
        <f t="shared" si="1"/>
        <v>1901</v>
      </c>
    </row>
    <row r="10" spans="1:18" ht="19.5" customHeight="1">
      <c r="A10" s="75"/>
      <c r="B10" s="91"/>
      <c r="C10" s="92"/>
      <c r="D10" s="9"/>
      <c r="E10" s="9"/>
      <c r="F10" s="9"/>
      <c r="G10" s="9">
        <v>38</v>
      </c>
      <c r="H10" s="9"/>
      <c r="I10" s="9"/>
      <c r="J10" s="9"/>
      <c r="K10" s="9">
        <v>39</v>
      </c>
      <c r="L10" s="9"/>
      <c r="M10" s="10">
        <f t="shared" si="0"/>
        <v>77</v>
      </c>
      <c r="N10" s="66"/>
      <c r="O10" s="69"/>
      <c r="P10" s="75"/>
      <c r="Q10" s="91"/>
      <c r="R10" s="10">
        <f t="shared" si="1"/>
        <v>511</v>
      </c>
    </row>
    <row r="11" spans="1:18" ht="19.5" customHeight="1">
      <c r="A11" s="74" t="s">
        <v>119</v>
      </c>
      <c r="B11" s="90">
        <v>19</v>
      </c>
      <c r="C11" s="80">
        <v>3</v>
      </c>
      <c r="D11" s="6"/>
      <c r="E11" s="6"/>
      <c r="F11" s="6"/>
      <c r="G11" s="6">
        <v>1922</v>
      </c>
      <c r="H11" s="6"/>
      <c r="I11" s="6"/>
      <c r="J11" s="6"/>
      <c r="K11" s="6"/>
      <c r="L11" s="6"/>
      <c r="M11" s="7">
        <f t="shared" si="0"/>
        <v>1922</v>
      </c>
      <c r="N11" s="66"/>
      <c r="O11" s="69"/>
      <c r="P11" s="74" t="s">
        <v>119</v>
      </c>
      <c r="Q11" s="90">
        <f>B11+B32</f>
        <v>173</v>
      </c>
      <c r="R11" s="7">
        <f t="shared" si="1"/>
        <v>6596</v>
      </c>
    </row>
    <row r="12" spans="1:18" ht="19.5" customHeight="1">
      <c r="A12" s="75"/>
      <c r="B12" s="91"/>
      <c r="C12" s="92"/>
      <c r="D12" s="9"/>
      <c r="E12" s="9"/>
      <c r="F12" s="9"/>
      <c r="G12" s="9">
        <v>92</v>
      </c>
      <c r="H12" s="9"/>
      <c r="I12" s="9"/>
      <c r="J12" s="9"/>
      <c r="K12" s="9"/>
      <c r="L12" s="9"/>
      <c r="M12" s="10">
        <f t="shared" si="0"/>
        <v>92</v>
      </c>
      <c r="N12" s="66"/>
      <c r="O12" s="69"/>
      <c r="P12" s="75"/>
      <c r="Q12" s="91"/>
      <c r="R12" s="10">
        <f t="shared" si="1"/>
        <v>1247</v>
      </c>
    </row>
    <row r="13" spans="1:18" s="51" customFormat="1" ht="19.5" customHeight="1">
      <c r="A13" s="74" t="s">
        <v>101</v>
      </c>
      <c r="B13" s="93">
        <v>23</v>
      </c>
      <c r="C13" s="80">
        <v>3</v>
      </c>
      <c r="D13" s="6"/>
      <c r="E13" s="6">
        <v>100</v>
      </c>
      <c r="F13" s="6">
        <v>1200</v>
      </c>
      <c r="G13" s="6">
        <v>1530</v>
      </c>
      <c r="H13" s="6">
        <v>100</v>
      </c>
      <c r="I13" s="6">
        <v>1060</v>
      </c>
      <c r="J13" s="6">
        <v>200</v>
      </c>
      <c r="K13" s="6"/>
      <c r="L13" s="6"/>
      <c r="M13" s="7">
        <f t="shared" si="0"/>
        <v>4190</v>
      </c>
      <c r="N13" s="67"/>
      <c r="O13" s="70"/>
      <c r="P13" s="74" t="s">
        <v>101</v>
      </c>
      <c r="Q13" s="90">
        <f>B13+B34</f>
        <v>331</v>
      </c>
      <c r="R13" s="7">
        <f t="shared" si="1"/>
        <v>14404</v>
      </c>
    </row>
    <row r="14" spans="1:18" s="51" customFormat="1" ht="19.5" customHeight="1">
      <c r="A14" s="75"/>
      <c r="B14" s="94"/>
      <c r="C14" s="92"/>
      <c r="D14" s="9"/>
      <c r="E14" s="9">
        <v>12</v>
      </c>
      <c r="F14" s="9">
        <v>330</v>
      </c>
      <c r="G14" s="9">
        <v>245</v>
      </c>
      <c r="H14" s="9">
        <v>19</v>
      </c>
      <c r="I14" s="9">
        <v>67</v>
      </c>
      <c r="J14" s="9">
        <v>106</v>
      </c>
      <c r="K14" s="9"/>
      <c r="L14" s="9"/>
      <c r="M14" s="10">
        <f t="shared" si="0"/>
        <v>779</v>
      </c>
      <c r="N14" s="67"/>
      <c r="O14" s="70"/>
      <c r="P14" s="75"/>
      <c r="Q14" s="91"/>
      <c r="R14" s="10">
        <f t="shared" si="1"/>
        <v>2594</v>
      </c>
    </row>
    <row r="15" spans="1:18" ht="19.5" customHeight="1">
      <c r="A15" s="74" t="s">
        <v>102</v>
      </c>
      <c r="B15" s="90">
        <v>52</v>
      </c>
      <c r="C15" s="80">
        <v>5</v>
      </c>
      <c r="D15" s="6">
        <v>50</v>
      </c>
      <c r="E15" s="6"/>
      <c r="F15" s="6">
        <v>50</v>
      </c>
      <c r="G15" s="6">
        <v>1037</v>
      </c>
      <c r="H15" s="6">
        <v>500</v>
      </c>
      <c r="I15" s="6"/>
      <c r="J15" s="6"/>
      <c r="K15" s="6">
        <v>20</v>
      </c>
      <c r="L15" s="6"/>
      <c r="M15" s="7">
        <f t="shared" si="0"/>
        <v>1657</v>
      </c>
      <c r="P15" s="74" t="s">
        <v>102</v>
      </c>
      <c r="Q15" s="90">
        <f>B15+B36</f>
        <v>231</v>
      </c>
      <c r="R15" s="7">
        <f t="shared" si="1"/>
        <v>8511</v>
      </c>
    </row>
    <row r="16" spans="1:18" ht="19.5" customHeight="1">
      <c r="A16" s="75"/>
      <c r="B16" s="91"/>
      <c r="C16" s="92"/>
      <c r="D16" s="9">
        <v>2</v>
      </c>
      <c r="E16" s="9"/>
      <c r="F16" s="9"/>
      <c r="G16" s="9">
        <v>92</v>
      </c>
      <c r="H16" s="9">
        <v>67</v>
      </c>
      <c r="I16" s="9"/>
      <c r="J16" s="9"/>
      <c r="K16" s="9"/>
      <c r="L16" s="9"/>
      <c r="M16" s="10">
        <f t="shared" si="0"/>
        <v>161</v>
      </c>
      <c r="P16" s="75"/>
      <c r="Q16" s="91"/>
      <c r="R16" s="10">
        <f t="shared" si="1"/>
        <v>2170</v>
      </c>
    </row>
    <row r="17" spans="1:18" ht="19.5" customHeight="1">
      <c r="A17" s="74" t="s">
        <v>120</v>
      </c>
      <c r="B17" s="90">
        <v>85</v>
      </c>
      <c r="C17" s="80">
        <v>9</v>
      </c>
      <c r="D17" s="6">
        <v>950</v>
      </c>
      <c r="E17" s="6"/>
      <c r="F17" s="6">
        <v>300</v>
      </c>
      <c r="G17" s="6">
        <v>12860</v>
      </c>
      <c r="H17" s="6">
        <v>3250</v>
      </c>
      <c r="I17" s="6">
        <v>1540</v>
      </c>
      <c r="J17" s="6">
        <v>250</v>
      </c>
      <c r="K17" s="6"/>
      <c r="L17" s="6"/>
      <c r="M17" s="7">
        <f t="shared" si="0"/>
        <v>19150</v>
      </c>
      <c r="P17" s="74" t="s">
        <v>120</v>
      </c>
      <c r="Q17" s="90">
        <f>B17+B38</f>
        <v>238</v>
      </c>
      <c r="R17" s="7">
        <f t="shared" si="1"/>
        <v>51244</v>
      </c>
    </row>
    <row r="18" spans="1:18" ht="19.5" customHeight="1">
      <c r="A18" s="75"/>
      <c r="B18" s="91"/>
      <c r="C18" s="92"/>
      <c r="D18" s="9">
        <v>154</v>
      </c>
      <c r="E18" s="9"/>
      <c r="F18" s="9">
        <v>60</v>
      </c>
      <c r="G18" s="9">
        <v>623</v>
      </c>
      <c r="H18" s="9">
        <v>932</v>
      </c>
      <c r="I18" s="9">
        <v>348</v>
      </c>
      <c r="J18" s="9">
        <v>21</v>
      </c>
      <c r="K18" s="9"/>
      <c r="L18" s="9"/>
      <c r="M18" s="10">
        <f t="shared" si="0"/>
        <v>2138</v>
      </c>
      <c r="P18" s="75"/>
      <c r="Q18" s="91"/>
      <c r="R18" s="10">
        <f t="shared" si="1"/>
        <v>4863</v>
      </c>
    </row>
    <row r="19" spans="1:18" ht="19.5" customHeight="1">
      <c r="A19" s="74" t="s">
        <v>121</v>
      </c>
      <c r="B19" s="76">
        <f>SUM(B5:B18)</f>
        <v>332</v>
      </c>
      <c r="C19" s="76">
        <f>SUM(C5:C18)</f>
        <v>29</v>
      </c>
      <c r="D19" s="7">
        <f>D5+D7+D9+D11+D13+D15+D17</f>
        <v>1500</v>
      </c>
      <c r="E19" s="7">
        <f aca="true" t="shared" si="2" ref="E19:K20">E5+E7+E9+E11+E13+E15+E17</f>
        <v>590</v>
      </c>
      <c r="F19" s="7">
        <f t="shared" si="2"/>
        <v>1560</v>
      </c>
      <c r="G19" s="7">
        <f t="shared" si="2"/>
        <v>30295</v>
      </c>
      <c r="H19" s="7">
        <f t="shared" si="2"/>
        <v>6070</v>
      </c>
      <c r="I19" s="7">
        <f t="shared" si="2"/>
        <v>6100</v>
      </c>
      <c r="J19" s="7">
        <f t="shared" si="2"/>
        <v>1210</v>
      </c>
      <c r="K19" s="7">
        <f t="shared" si="2"/>
        <v>920</v>
      </c>
      <c r="L19" s="7"/>
      <c r="M19" s="7">
        <f t="shared" si="0"/>
        <v>48245</v>
      </c>
      <c r="P19" s="74" t="s">
        <v>121</v>
      </c>
      <c r="Q19" s="76">
        <f>B19+B40</f>
        <v>1724</v>
      </c>
      <c r="R19" s="7">
        <f t="shared" si="1"/>
        <v>115188</v>
      </c>
    </row>
    <row r="20" spans="1:18" ht="19.5" customHeight="1">
      <c r="A20" s="75"/>
      <c r="B20" s="77"/>
      <c r="C20" s="77"/>
      <c r="D20" s="8">
        <f>D6+D8+D10+D12+D14+D16+D18</f>
        <v>232</v>
      </c>
      <c r="E20" s="8">
        <f t="shared" si="2"/>
        <v>42</v>
      </c>
      <c r="F20" s="8">
        <f t="shared" si="2"/>
        <v>390</v>
      </c>
      <c r="G20" s="8">
        <f t="shared" si="2"/>
        <v>2938</v>
      </c>
      <c r="H20" s="8">
        <f t="shared" si="2"/>
        <v>1083</v>
      </c>
      <c r="I20" s="8">
        <f t="shared" si="2"/>
        <v>997</v>
      </c>
      <c r="J20" s="8">
        <f t="shared" si="2"/>
        <v>184</v>
      </c>
      <c r="K20" s="8">
        <f t="shared" si="2"/>
        <v>148</v>
      </c>
      <c r="L20" s="8"/>
      <c r="M20" s="8">
        <f t="shared" si="0"/>
        <v>6014</v>
      </c>
      <c r="P20" s="75"/>
      <c r="Q20" s="77"/>
      <c r="R20" s="8">
        <f t="shared" si="1"/>
        <v>17144</v>
      </c>
    </row>
    <row r="21" spans="1:17" ht="19.5" customHeight="1">
      <c r="A21" s="13"/>
      <c r="B21" s="14"/>
      <c r="C21" s="4"/>
      <c r="D21" s="15"/>
      <c r="E21" s="15"/>
      <c r="F21" s="32"/>
      <c r="G21" s="15"/>
      <c r="H21" s="15"/>
      <c r="I21" s="15"/>
      <c r="J21" s="32"/>
      <c r="K21" s="32"/>
      <c r="L21" s="15"/>
      <c r="M21" s="15"/>
      <c r="N21" s="2"/>
      <c r="O21" s="2"/>
      <c r="P21" s="2"/>
      <c r="Q21" s="2"/>
    </row>
    <row r="22" spans="1:17" ht="19.5" customHeight="1">
      <c r="A22" s="13"/>
      <c r="B22" s="14"/>
      <c r="C22" s="4"/>
      <c r="D22" s="15"/>
      <c r="E22" s="15"/>
      <c r="F22" s="32"/>
      <c r="G22" s="15"/>
      <c r="H22" s="15"/>
      <c r="I22" s="15"/>
      <c r="J22" s="32"/>
      <c r="K22" s="32"/>
      <c r="L22" s="15"/>
      <c r="M22" s="15"/>
      <c r="N22" s="2"/>
      <c r="O22" s="2"/>
      <c r="P22" s="2"/>
      <c r="Q22" s="2"/>
    </row>
    <row r="23" spans="1:17" ht="19.5" customHeight="1">
      <c r="A23" s="11" t="s">
        <v>122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9.5" customHeight="1">
      <c r="A24" s="83" t="s">
        <v>179</v>
      </c>
      <c r="B24" s="85" t="s">
        <v>106</v>
      </c>
      <c r="C24" s="3" t="s">
        <v>107</v>
      </c>
      <c r="D24" s="87" t="s">
        <v>108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</row>
    <row r="25" spans="1:18" ht="19.5" customHeight="1">
      <c r="A25" s="84"/>
      <c r="B25" s="86"/>
      <c r="C25" s="5" t="s">
        <v>109</v>
      </c>
      <c r="D25" s="5" t="s">
        <v>11</v>
      </c>
      <c r="E25" s="5" t="s">
        <v>13</v>
      </c>
      <c r="F25" s="5" t="s">
        <v>12</v>
      </c>
      <c r="G25" s="5" t="s">
        <v>164</v>
      </c>
      <c r="H25" s="5" t="s">
        <v>14</v>
      </c>
      <c r="I25" s="5" t="s">
        <v>15</v>
      </c>
      <c r="J25" s="5" t="s">
        <v>16</v>
      </c>
      <c r="K25" s="5" t="s">
        <v>130</v>
      </c>
      <c r="L25" s="54" t="s">
        <v>95</v>
      </c>
      <c r="M25" s="54" t="s">
        <v>65</v>
      </c>
      <c r="N25" s="54" t="s">
        <v>86</v>
      </c>
      <c r="O25" s="5" t="s">
        <v>133</v>
      </c>
      <c r="P25" s="5" t="s">
        <v>151</v>
      </c>
      <c r="Q25" s="5" t="s">
        <v>185</v>
      </c>
      <c r="R25" s="12" t="s">
        <v>115</v>
      </c>
    </row>
    <row r="26" spans="1:18" ht="19.5" customHeight="1">
      <c r="A26" s="74" t="s">
        <v>159</v>
      </c>
      <c r="B26" s="76">
        <v>172</v>
      </c>
      <c r="C26" s="80">
        <v>5</v>
      </c>
      <c r="D26" s="6">
        <v>9</v>
      </c>
      <c r="E26" s="6">
        <v>6</v>
      </c>
      <c r="F26" s="6">
        <v>160</v>
      </c>
      <c r="G26" s="6"/>
      <c r="H26" s="78">
        <v>1420</v>
      </c>
      <c r="I26" s="79"/>
      <c r="J26" s="6">
        <v>1</v>
      </c>
      <c r="K26" s="6"/>
      <c r="L26" s="6">
        <v>1140</v>
      </c>
      <c r="M26" s="6">
        <v>883</v>
      </c>
      <c r="N26" s="6">
        <v>100</v>
      </c>
      <c r="O26" s="6">
        <v>525</v>
      </c>
      <c r="P26" s="6"/>
      <c r="Q26" s="6"/>
      <c r="R26" s="7">
        <f aca="true" t="shared" si="3" ref="R26:R41">SUM(D26:Q26)</f>
        <v>4244</v>
      </c>
    </row>
    <row r="27" spans="1:18" ht="19.5" customHeight="1">
      <c r="A27" s="75"/>
      <c r="B27" s="77"/>
      <c r="C27" s="81"/>
      <c r="D27" s="9">
        <v>9</v>
      </c>
      <c r="E27" s="9">
        <v>5</v>
      </c>
      <c r="F27" s="9">
        <v>115</v>
      </c>
      <c r="G27" s="9"/>
      <c r="H27" s="9">
        <v>209</v>
      </c>
      <c r="I27" s="46">
        <v>99</v>
      </c>
      <c r="J27" s="9">
        <v>1</v>
      </c>
      <c r="K27" s="9"/>
      <c r="L27" s="9">
        <v>297</v>
      </c>
      <c r="M27" s="9">
        <v>129</v>
      </c>
      <c r="N27" s="9">
        <v>50</v>
      </c>
      <c r="O27" s="9">
        <v>25</v>
      </c>
      <c r="P27" s="9"/>
      <c r="Q27" s="9"/>
      <c r="R27" s="8">
        <f t="shared" si="3"/>
        <v>939</v>
      </c>
    </row>
    <row r="28" spans="1:18" ht="19.5" customHeight="1">
      <c r="A28" s="74" t="s">
        <v>178</v>
      </c>
      <c r="B28" s="76">
        <v>334</v>
      </c>
      <c r="C28" s="80">
        <v>2</v>
      </c>
      <c r="D28" s="6">
        <v>51</v>
      </c>
      <c r="E28" s="6">
        <v>140</v>
      </c>
      <c r="F28" s="6">
        <v>1220</v>
      </c>
      <c r="G28" s="6"/>
      <c r="H28" s="78">
        <v>602</v>
      </c>
      <c r="I28" s="79"/>
      <c r="J28" s="6">
        <v>423</v>
      </c>
      <c r="K28" s="6">
        <v>295</v>
      </c>
      <c r="L28" s="6">
        <v>2195</v>
      </c>
      <c r="M28" s="6">
        <v>1508</v>
      </c>
      <c r="N28" s="6">
        <v>40</v>
      </c>
      <c r="O28" s="6">
        <v>1160</v>
      </c>
      <c r="P28" s="6"/>
      <c r="Q28" s="6">
        <v>30</v>
      </c>
      <c r="R28" s="7">
        <f t="shared" si="3"/>
        <v>7664</v>
      </c>
    </row>
    <row r="29" spans="1:18" ht="19.5" customHeight="1">
      <c r="A29" s="75"/>
      <c r="B29" s="77"/>
      <c r="C29" s="81"/>
      <c r="D29" s="9">
        <v>21</v>
      </c>
      <c r="E29" s="9">
        <v>4</v>
      </c>
      <c r="F29" s="9">
        <v>291</v>
      </c>
      <c r="G29" s="9"/>
      <c r="H29" s="9">
        <v>23</v>
      </c>
      <c r="I29" s="46">
        <v>23</v>
      </c>
      <c r="J29" s="9">
        <v>48</v>
      </c>
      <c r="K29" s="9">
        <v>44</v>
      </c>
      <c r="L29" s="9">
        <v>934</v>
      </c>
      <c r="M29" s="9">
        <v>386</v>
      </c>
      <c r="N29" s="9">
        <v>9</v>
      </c>
      <c r="O29" s="9">
        <v>270</v>
      </c>
      <c r="P29" s="9"/>
      <c r="Q29" s="9"/>
      <c r="R29" s="8">
        <f t="shared" si="3"/>
        <v>2053</v>
      </c>
    </row>
    <row r="30" spans="1:18" s="51" customFormat="1" ht="19.5" customHeight="1">
      <c r="A30" s="74" t="s">
        <v>118</v>
      </c>
      <c r="B30" s="76">
        <v>92</v>
      </c>
      <c r="C30" s="80">
        <v>3</v>
      </c>
      <c r="D30" s="6">
        <v>39</v>
      </c>
      <c r="E30" s="6">
        <v>1</v>
      </c>
      <c r="F30" s="6">
        <v>27</v>
      </c>
      <c r="G30" s="6"/>
      <c r="H30" s="78">
        <v>531</v>
      </c>
      <c r="I30" s="79"/>
      <c r="J30" s="6">
        <v>90</v>
      </c>
      <c r="K30" s="6"/>
      <c r="L30" s="6">
        <v>449</v>
      </c>
      <c r="M30" s="6">
        <v>38</v>
      </c>
      <c r="N30" s="6"/>
      <c r="O30" s="6">
        <v>24</v>
      </c>
      <c r="P30" s="6"/>
      <c r="Q30" s="6"/>
      <c r="R30" s="7">
        <f t="shared" si="3"/>
        <v>1199</v>
      </c>
    </row>
    <row r="31" spans="1:18" s="51" customFormat="1" ht="19.5" customHeight="1">
      <c r="A31" s="75"/>
      <c r="B31" s="77"/>
      <c r="C31" s="81"/>
      <c r="D31" s="9">
        <v>8</v>
      </c>
      <c r="E31" s="9">
        <v>1</v>
      </c>
      <c r="F31" s="9">
        <v>4</v>
      </c>
      <c r="G31" s="9"/>
      <c r="H31" s="9">
        <v>121</v>
      </c>
      <c r="I31" s="46">
        <v>116</v>
      </c>
      <c r="J31" s="9">
        <v>42</v>
      </c>
      <c r="K31" s="9"/>
      <c r="L31" s="9">
        <v>114</v>
      </c>
      <c r="M31" s="9">
        <v>21</v>
      </c>
      <c r="N31" s="9"/>
      <c r="O31" s="9">
        <v>7</v>
      </c>
      <c r="P31" s="9"/>
      <c r="Q31" s="9"/>
      <c r="R31" s="8">
        <f t="shared" si="3"/>
        <v>434</v>
      </c>
    </row>
    <row r="32" spans="1:18" ht="19.5" customHeight="1">
      <c r="A32" s="74" t="s">
        <v>119</v>
      </c>
      <c r="B32" s="76">
        <v>154</v>
      </c>
      <c r="C32" s="80">
        <v>4</v>
      </c>
      <c r="D32" s="6">
        <v>19</v>
      </c>
      <c r="E32" s="6">
        <v>15</v>
      </c>
      <c r="F32" s="6">
        <v>413</v>
      </c>
      <c r="G32" s="6"/>
      <c r="H32" s="78">
        <v>1402</v>
      </c>
      <c r="I32" s="79"/>
      <c r="J32" s="6">
        <v>265</v>
      </c>
      <c r="K32" s="6"/>
      <c r="L32" s="6">
        <v>1177</v>
      </c>
      <c r="M32" s="6">
        <v>960</v>
      </c>
      <c r="N32" s="6"/>
      <c r="O32" s="6">
        <v>423</v>
      </c>
      <c r="P32" s="6"/>
      <c r="Q32" s="6"/>
      <c r="R32" s="7">
        <f t="shared" si="3"/>
        <v>4674</v>
      </c>
    </row>
    <row r="33" spans="1:18" ht="19.5" customHeight="1">
      <c r="A33" s="75"/>
      <c r="B33" s="77"/>
      <c r="C33" s="81"/>
      <c r="D33" s="9">
        <v>8</v>
      </c>
      <c r="E33" s="9"/>
      <c r="F33" s="9">
        <v>44</v>
      </c>
      <c r="G33" s="9"/>
      <c r="H33" s="9">
        <v>223</v>
      </c>
      <c r="I33" s="46">
        <v>267</v>
      </c>
      <c r="J33" s="9">
        <v>14</v>
      </c>
      <c r="K33" s="9"/>
      <c r="L33" s="9">
        <v>381</v>
      </c>
      <c r="M33" s="9">
        <v>205</v>
      </c>
      <c r="N33" s="9"/>
      <c r="O33" s="9">
        <v>13</v>
      </c>
      <c r="P33" s="9"/>
      <c r="Q33" s="9"/>
      <c r="R33" s="8">
        <f t="shared" si="3"/>
        <v>1155</v>
      </c>
    </row>
    <row r="34" spans="1:18" s="51" customFormat="1" ht="19.5" customHeight="1">
      <c r="A34" s="74" t="s">
        <v>101</v>
      </c>
      <c r="B34" s="76">
        <v>308</v>
      </c>
      <c r="C34" s="80">
        <v>6</v>
      </c>
      <c r="D34" s="6">
        <v>175</v>
      </c>
      <c r="E34" s="6">
        <v>401</v>
      </c>
      <c r="F34" s="6">
        <v>1741</v>
      </c>
      <c r="G34" s="6"/>
      <c r="H34" s="78">
        <v>880</v>
      </c>
      <c r="I34" s="79"/>
      <c r="J34" s="6">
        <v>670</v>
      </c>
      <c r="K34" s="6"/>
      <c r="L34" s="6">
        <v>3148</v>
      </c>
      <c r="M34" s="6">
        <v>1816</v>
      </c>
      <c r="N34" s="6"/>
      <c r="O34" s="6">
        <v>1350</v>
      </c>
      <c r="P34" s="6">
        <v>33</v>
      </c>
      <c r="Q34" s="6"/>
      <c r="R34" s="7">
        <f t="shared" si="3"/>
        <v>10214</v>
      </c>
    </row>
    <row r="35" spans="1:18" s="51" customFormat="1" ht="19.5" customHeight="1">
      <c r="A35" s="75"/>
      <c r="B35" s="77"/>
      <c r="C35" s="81"/>
      <c r="D35" s="9">
        <v>111</v>
      </c>
      <c r="E35" s="9">
        <v>3</v>
      </c>
      <c r="F35" s="9">
        <v>173</v>
      </c>
      <c r="G35" s="9"/>
      <c r="H35" s="9">
        <v>110</v>
      </c>
      <c r="I35" s="46">
        <v>84</v>
      </c>
      <c r="J35" s="9">
        <v>309</v>
      </c>
      <c r="K35" s="9"/>
      <c r="L35" s="9">
        <v>838</v>
      </c>
      <c r="M35" s="9">
        <v>169</v>
      </c>
      <c r="N35" s="9"/>
      <c r="O35" s="9">
        <v>3</v>
      </c>
      <c r="P35" s="9">
        <v>15</v>
      </c>
      <c r="Q35" s="9"/>
      <c r="R35" s="8">
        <f t="shared" si="3"/>
        <v>1815</v>
      </c>
    </row>
    <row r="36" spans="1:18" ht="19.5" customHeight="1">
      <c r="A36" s="74" t="s">
        <v>102</v>
      </c>
      <c r="B36" s="76">
        <v>179</v>
      </c>
      <c r="C36" s="80">
        <v>5</v>
      </c>
      <c r="D36" s="6">
        <v>159</v>
      </c>
      <c r="E36" s="6"/>
      <c r="F36" s="6">
        <v>475</v>
      </c>
      <c r="G36" s="6"/>
      <c r="H36" s="78">
        <v>1530</v>
      </c>
      <c r="I36" s="82"/>
      <c r="J36" s="6">
        <v>1216</v>
      </c>
      <c r="K36" s="6">
        <v>10</v>
      </c>
      <c r="L36" s="6">
        <v>1319</v>
      </c>
      <c r="M36" s="6">
        <v>1768</v>
      </c>
      <c r="N36" s="6"/>
      <c r="O36" s="6">
        <v>330</v>
      </c>
      <c r="P36" s="6">
        <v>47</v>
      </c>
      <c r="Q36" s="6"/>
      <c r="R36" s="7">
        <f t="shared" si="3"/>
        <v>6854</v>
      </c>
    </row>
    <row r="37" spans="1:18" ht="19.5" customHeight="1">
      <c r="A37" s="75"/>
      <c r="B37" s="77"/>
      <c r="C37" s="81"/>
      <c r="D37" s="9">
        <v>83</v>
      </c>
      <c r="E37" s="9"/>
      <c r="F37" s="9">
        <v>41</v>
      </c>
      <c r="G37" s="9"/>
      <c r="H37" s="9">
        <v>295</v>
      </c>
      <c r="I37" s="46">
        <v>350</v>
      </c>
      <c r="J37" s="9">
        <v>545</v>
      </c>
      <c r="K37" s="9">
        <v>1</v>
      </c>
      <c r="L37" s="9">
        <v>392</v>
      </c>
      <c r="M37" s="9">
        <v>270</v>
      </c>
      <c r="N37" s="9"/>
      <c r="O37" s="9"/>
      <c r="P37" s="9">
        <v>32</v>
      </c>
      <c r="Q37" s="9"/>
      <c r="R37" s="8">
        <f t="shared" si="3"/>
        <v>2009</v>
      </c>
    </row>
    <row r="38" spans="1:18" ht="19.5" customHeight="1">
      <c r="A38" s="74" t="s">
        <v>120</v>
      </c>
      <c r="B38" s="76">
        <v>153</v>
      </c>
      <c r="C38" s="80">
        <v>7</v>
      </c>
      <c r="D38" s="6">
        <v>17</v>
      </c>
      <c r="E38" s="6">
        <v>82</v>
      </c>
      <c r="F38" s="6">
        <v>7024</v>
      </c>
      <c r="G38" s="6"/>
      <c r="H38" s="78">
        <v>761</v>
      </c>
      <c r="I38" s="79"/>
      <c r="J38" s="6">
        <v>447</v>
      </c>
      <c r="K38" s="6"/>
      <c r="L38" s="6">
        <v>9410</v>
      </c>
      <c r="M38" s="6">
        <v>7294</v>
      </c>
      <c r="N38" s="6"/>
      <c r="O38" s="6">
        <v>7059</v>
      </c>
      <c r="P38" s="6"/>
      <c r="Q38" s="6"/>
      <c r="R38" s="7">
        <f t="shared" si="3"/>
        <v>32094</v>
      </c>
    </row>
    <row r="39" spans="1:18" ht="19.5" customHeight="1">
      <c r="A39" s="75"/>
      <c r="B39" s="77"/>
      <c r="C39" s="81"/>
      <c r="D39" s="9">
        <v>8</v>
      </c>
      <c r="E39" s="9">
        <v>4</v>
      </c>
      <c r="F39" s="9">
        <v>122</v>
      </c>
      <c r="G39" s="9"/>
      <c r="H39" s="9">
        <v>222</v>
      </c>
      <c r="I39" s="46">
        <v>212</v>
      </c>
      <c r="J39" s="9">
        <v>112</v>
      </c>
      <c r="K39" s="9"/>
      <c r="L39" s="9">
        <v>1853</v>
      </c>
      <c r="M39" s="9">
        <v>175</v>
      </c>
      <c r="N39" s="9"/>
      <c r="O39" s="9">
        <v>17</v>
      </c>
      <c r="P39" s="9"/>
      <c r="Q39" s="9"/>
      <c r="R39" s="8">
        <f t="shared" si="3"/>
        <v>2725</v>
      </c>
    </row>
    <row r="40" spans="1:18" ht="19.5" customHeight="1">
      <c r="A40" s="74" t="s">
        <v>136</v>
      </c>
      <c r="B40" s="76">
        <f>SUM(B26:B39)</f>
        <v>1392</v>
      </c>
      <c r="C40" s="76">
        <f>SUM(C26:C39)</f>
        <v>32</v>
      </c>
      <c r="D40" s="7">
        <f aca="true" t="shared" si="4" ref="D40:H41">D26+D28+D30+D32+D34+D36+D38</f>
        <v>469</v>
      </c>
      <c r="E40" s="7">
        <f t="shared" si="4"/>
        <v>645</v>
      </c>
      <c r="F40" s="7">
        <f t="shared" si="4"/>
        <v>11060</v>
      </c>
      <c r="G40" s="7">
        <f t="shared" si="4"/>
        <v>0</v>
      </c>
      <c r="H40" s="78">
        <f t="shared" si="4"/>
        <v>7126</v>
      </c>
      <c r="I40" s="79"/>
      <c r="J40" s="7">
        <f aca="true" t="shared" si="5" ref="J40:Q41">J26+J28+J30+J32+J34+J36+J38</f>
        <v>3112</v>
      </c>
      <c r="K40" s="7">
        <f t="shared" si="5"/>
        <v>305</v>
      </c>
      <c r="L40" s="7">
        <f t="shared" si="5"/>
        <v>18838</v>
      </c>
      <c r="M40" s="7">
        <f t="shared" si="5"/>
        <v>14267</v>
      </c>
      <c r="N40" s="7">
        <f t="shared" si="5"/>
        <v>140</v>
      </c>
      <c r="O40" s="7">
        <f t="shared" si="5"/>
        <v>10871</v>
      </c>
      <c r="P40" s="7">
        <f t="shared" si="5"/>
        <v>80</v>
      </c>
      <c r="Q40" s="7">
        <f t="shared" si="5"/>
        <v>30</v>
      </c>
      <c r="R40" s="7">
        <f t="shared" si="3"/>
        <v>66943</v>
      </c>
    </row>
    <row r="41" spans="1:18" ht="19.5" customHeight="1">
      <c r="A41" s="75"/>
      <c r="B41" s="77"/>
      <c r="C41" s="77"/>
      <c r="D41" s="8">
        <f t="shared" si="4"/>
        <v>248</v>
      </c>
      <c r="E41" s="8">
        <f t="shared" si="4"/>
        <v>17</v>
      </c>
      <c r="F41" s="8">
        <f t="shared" si="4"/>
        <v>790</v>
      </c>
      <c r="G41" s="8">
        <f t="shared" si="4"/>
        <v>0</v>
      </c>
      <c r="H41" s="8">
        <f t="shared" si="4"/>
        <v>1203</v>
      </c>
      <c r="I41" s="8">
        <f>I27+I29+I31+I33+I35+I37+I39</f>
        <v>1151</v>
      </c>
      <c r="J41" s="8">
        <f t="shared" si="5"/>
        <v>1071</v>
      </c>
      <c r="K41" s="8">
        <f t="shared" si="5"/>
        <v>45</v>
      </c>
      <c r="L41" s="8">
        <f t="shared" si="5"/>
        <v>4809</v>
      </c>
      <c r="M41" s="8">
        <f t="shared" si="5"/>
        <v>1355</v>
      </c>
      <c r="N41" s="8">
        <f t="shared" si="5"/>
        <v>59</v>
      </c>
      <c r="O41" s="8">
        <f t="shared" si="5"/>
        <v>335</v>
      </c>
      <c r="P41" s="8">
        <f t="shared" si="5"/>
        <v>47</v>
      </c>
      <c r="Q41" s="8">
        <f t="shared" si="5"/>
        <v>0</v>
      </c>
      <c r="R41" s="8">
        <f t="shared" si="3"/>
        <v>11130</v>
      </c>
    </row>
    <row r="42" ht="18.75" customHeight="1"/>
    <row r="43" ht="18.75" customHeight="1">
      <c r="A43" t="s">
        <v>213</v>
      </c>
    </row>
    <row r="44" ht="18.75" customHeight="1"/>
  </sheetData>
  <sheetProtection/>
  <mergeCells count="81">
    <mergeCell ref="A40:A41"/>
    <mergeCell ref="B40:B41"/>
    <mergeCell ref="C40:C41"/>
    <mergeCell ref="H40:I40"/>
    <mergeCell ref="A36:A37"/>
    <mergeCell ref="B36:B37"/>
    <mergeCell ref="C36:C37"/>
    <mergeCell ref="H36:I36"/>
    <mergeCell ref="A38:A39"/>
    <mergeCell ref="B38:B39"/>
    <mergeCell ref="C38:C39"/>
    <mergeCell ref="H38:I38"/>
    <mergeCell ref="A32:A33"/>
    <mergeCell ref="B32:B33"/>
    <mergeCell ref="C32:C33"/>
    <mergeCell ref="H32:I32"/>
    <mergeCell ref="A34:A35"/>
    <mergeCell ref="B34:B35"/>
    <mergeCell ref="C34:C35"/>
    <mergeCell ref="H34:I34"/>
    <mergeCell ref="A28:A29"/>
    <mergeCell ref="B28:B29"/>
    <mergeCell ref="C28:C29"/>
    <mergeCell ref="H28:I28"/>
    <mergeCell ref="A30:A31"/>
    <mergeCell ref="B30:B31"/>
    <mergeCell ref="C30:C31"/>
    <mergeCell ref="H30:I30"/>
    <mergeCell ref="A24:A25"/>
    <mergeCell ref="B24:B25"/>
    <mergeCell ref="D24:R24"/>
    <mergeCell ref="A26:A27"/>
    <mergeCell ref="B26:B27"/>
    <mergeCell ref="C26:C27"/>
    <mergeCell ref="H26:I26"/>
    <mergeCell ref="A17:A18"/>
    <mergeCell ref="B17:B18"/>
    <mergeCell ref="C17:C18"/>
    <mergeCell ref="P17:P18"/>
    <mergeCell ref="Q17:Q18"/>
    <mergeCell ref="A19:A20"/>
    <mergeCell ref="B19:B20"/>
    <mergeCell ref="C19:C20"/>
    <mergeCell ref="P19:P20"/>
    <mergeCell ref="Q19:Q20"/>
    <mergeCell ref="A13:A14"/>
    <mergeCell ref="B13:B14"/>
    <mergeCell ref="C13:C14"/>
    <mergeCell ref="P13:P14"/>
    <mergeCell ref="Q13:Q14"/>
    <mergeCell ref="A15:A16"/>
    <mergeCell ref="B15:B16"/>
    <mergeCell ref="C15:C16"/>
    <mergeCell ref="P15:P16"/>
    <mergeCell ref="Q15:Q16"/>
    <mergeCell ref="A9:A10"/>
    <mergeCell ref="B9:B10"/>
    <mergeCell ref="C9:C10"/>
    <mergeCell ref="P9:P10"/>
    <mergeCell ref="Q9:Q10"/>
    <mergeCell ref="A11:A12"/>
    <mergeCell ref="B11:B12"/>
    <mergeCell ref="C11:C12"/>
    <mergeCell ref="P11:P12"/>
    <mergeCell ref="Q11:Q12"/>
    <mergeCell ref="A5:A6"/>
    <mergeCell ref="B5:B6"/>
    <mergeCell ref="C5:C6"/>
    <mergeCell ref="P5:P6"/>
    <mergeCell ref="Q5:Q6"/>
    <mergeCell ref="A7:A8"/>
    <mergeCell ref="B7:B8"/>
    <mergeCell ref="C7:C8"/>
    <mergeCell ref="P7:P8"/>
    <mergeCell ref="Q7:Q8"/>
    <mergeCell ref="A3:A4"/>
    <mergeCell ref="B3:B4"/>
    <mergeCell ref="C3:C4"/>
    <mergeCell ref="D3:M3"/>
    <mergeCell ref="P3:P4"/>
    <mergeCell ref="Q3:Q4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43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9" max="9" width="9.00390625" style="51" customWidth="1"/>
  </cols>
  <sheetData>
    <row r="1" spans="1:17" ht="19.5" customHeight="1">
      <c r="A1" s="1" t="s">
        <v>214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168</v>
      </c>
      <c r="Q2" s="2"/>
    </row>
    <row r="3" spans="1:18" ht="19.5" customHeight="1">
      <c r="A3" s="83" t="s">
        <v>179</v>
      </c>
      <c r="B3" s="85" t="s">
        <v>106</v>
      </c>
      <c r="C3" s="95" t="s">
        <v>109</v>
      </c>
      <c r="D3" s="87" t="s">
        <v>108</v>
      </c>
      <c r="E3" s="88"/>
      <c r="F3" s="88"/>
      <c r="G3" s="88"/>
      <c r="H3" s="88"/>
      <c r="I3" s="88"/>
      <c r="J3" s="88"/>
      <c r="K3" s="88"/>
      <c r="L3" s="88"/>
      <c r="M3" s="89"/>
      <c r="N3" s="57"/>
      <c r="O3" s="68"/>
      <c r="P3" s="83" t="s">
        <v>100</v>
      </c>
      <c r="Q3" s="85" t="s">
        <v>106</v>
      </c>
      <c r="R3" s="61" t="s">
        <v>166</v>
      </c>
    </row>
    <row r="4" spans="1:18" ht="19.5" customHeight="1">
      <c r="A4" s="84"/>
      <c r="B4" s="86"/>
      <c r="C4" s="96"/>
      <c r="D4" s="5" t="s">
        <v>110</v>
      </c>
      <c r="E4" s="5" t="s">
        <v>4</v>
      </c>
      <c r="F4" s="5" t="s">
        <v>3</v>
      </c>
      <c r="G4" s="5" t="s">
        <v>39</v>
      </c>
      <c r="H4" s="5" t="s">
        <v>40</v>
      </c>
      <c r="I4" s="5" t="s">
        <v>6</v>
      </c>
      <c r="J4" s="16" t="s">
        <v>36</v>
      </c>
      <c r="K4" s="17" t="s">
        <v>41</v>
      </c>
      <c r="L4" s="17"/>
      <c r="M4" s="12" t="s">
        <v>115</v>
      </c>
      <c r="N4" s="66"/>
      <c r="O4" s="69"/>
      <c r="P4" s="84"/>
      <c r="Q4" s="86"/>
      <c r="R4" s="62" t="s">
        <v>167</v>
      </c>
    </row>
    <row r="5" spans="1:18" ht="19.5" customHeight="1">
      <c r="A5" s="74" t="s">
        <v>159</v>
      </c>
      <c r="B5" s="90">
        <v>66</v>
      </c>
      <c r="C5" s="80">
        <v>5</v>
      </c>
      <c r="D5" s="6">
        <v>350</v>
      </c>
      <c r="E5" s="6">
        <v>450</v>
      </c>
      <c r="F5" s="6">
        <v>10</v>
      </c>
      <c r="G5" s="6">
        <v>2957</v>
      </c>
      <c r="H5" s="6">
        <v>700</v>
      </c>
      <c r="I5" s="6">
        <v>1450</v>
      </c>
      <c r="J5" s="6">
        <v>100</v>
      </c>
      <c r="K5" s="6">
        <v>30</v>
      </c>
      <c r="L5" s="6"/>
      <c r="M5" s="7">
        <f aca="true" t="shared" si="0" ref="M5:M20">SUM(D5:L5)</f>
        <v>6047</v>
      </c>
      <c r="N5" s="66"/>
      <c r="O5" s="69"/>
      <c r="P5" s="74" t="s">
        <v>159</v>
      </c>
      <c r="Q5" s="90">
        <f>B5+B26</f>
        <v>239</v>
      </c>
      <c r="R5" s="7">
        <f aca="true" t="shared" si="1" ref="R5:R20">M5+R26</f>
        <v>10875</v>
      </c>
    </row>
    <row r="6" spans="1:18" ht="19.5" customHeight="1">
      <c r="A6" s="75"/>
      <c r="B6" s="91"/>
      <c r="C6" s="92"/>
      <c r="D6" s="9">
        <v>60</v>
      </c>
      <c r="E6" s="9">
        <v>127</v>
      </c>
      <c r="F6" s="9">
        <v>0</v>
      </c>
      <c r="G6" s="9">
        <v>543</v>
      </c>
      <c r="H6" s="9">
        <v>430</v>
      </c>
      <c r="I6" s="9">
        <v>520</v>
      </c>
      <c r="J6" s="9">
        <v>54</v>
      </c>
      <c r="K6" s="9">
        <v>18</v>
      </c>
      <c r="L6" s="9"/>
      <c r="M6" s="10">
        <f t="shared" si="0"/>
        <v>1752</v>
      </c>
      <c r="N6" s="66"/>
      <c r="O6" s="69"/>
      <c r="P6" s="75"/>
      <c r="Q6" s="91"/>
      <c r="R6" s="10">
        <f t="shared" si="1"/>
        <v>2405</v>
      </c>
    </row>
    <row r="7" spans="1:18" ht="19.5" customHeight="1">
      <c r="A7" s="74" t="s">
        <v>178</v>
      </c>
      <c r="B7" s="90">
        <v>49</v>
      </c>
      <c r="C7" s="80">
        <v>2</v>
      </c>
      <c r="D7" s="6">
        <v>200</v>
      </c>
      <c r="E7" s="6">
        <v>300</v>
      </c>
      <c r="F7" s="6">
        <v>0</v>
      </c>
      <c r="G7" s="6">
        <v>8211</v>
      </c>
      <c r="H7" s="6">
        <v>1600</v>
      </c>
      <c r="I7" s="6">
        <v>860</v>
      </c>
      <c r="J7" s="6">
        <v>600</v>
      </c>
      <c r="K7" s="6">
        <v>260</v>
      </c>
      <c r="L7" s="6"/>
      <c r="M7" s="7">
        <f t="shared" si="0"/>
        <v>12031</v>
      </c>
      <c r="N7" s="66"/>
      <c r="O7" s="69"/>
      <c r="P7" s="74" t="s">
        <v>178</v>
      </c>
      <c r="Q7" s="90">
        <f>B7+B28</f>
        <v>179</v>
      </c>
      <c r="R7" s="7">
        <f t="shared" si="1"/>
        <v>19175</v>
      </c>
    </row>
    <row r="8" spans="1:18" ht="19.5" customHeight="1">
      <c r="A8" s="75"/>
      <c r="B8" s="91"/>
      <c r="C8" s="92"/>
      <c r="D8" s="9">
        <v>49</v>
      </c>
      <c r="E8" s="9">
        <v>0</v>
      </c>
      <c r="F8" s="9">
        <v>0</v>
      </c>
      <c r="G8" s="9">
        <v>1483</v>
      </c>
      <c r="H8" s="9">
        <v>8</v>
      </c>
      <c r="I8" s="9">
        <v>273</v>
      </c>
      <c r="J8" s="9">
        <v>7</v>
      </c>
      <c r="K8" s="9">
        <v>72</v>
      </c>
      <c r="L8" s="9"/>
      <c r="M8" s="10">
        <f t="shared" si="0"/>
        <v>1892</v>
      </c>
      <c r="N8" s="66"/>
      <c r="O8" s="69"/>
      <c r="P8" s="75"/>
      <c r="Q8" s="91"/>
      <c r="R8" s="10">
        <f t="shared" si="1"/>
        <v>3290</v>
      </c>
    </row>
    <row r="9" spans="1:18" ht="19.5" customHeight="1">
      <c r="A9" s="74" t="s">
        <v>118</v>
      </c>
      <c r="B9" s="90">
        <v>16</v>
      </c>
      <c r="C9" s="80">
        <v>2</v>
      </c>
      <c r="D9" s="6">
        <v>0</v>
      </c>
      <c r="E9" s="6">
        <v>0</v>
      </c>
      <c r="F9" s="6">
        <v>0</v>
      </c>
      <c r="G9" s="6">
        <v>625</v>
      </c>
      <c r="H9" s="6">
        <v>0</v>
      </c>
      <c r="I9" s="6">
        <v>0</v>
      </c>
      <c r="J9" s="6">
        <v>0</v>
      </c>
      <c r="K9" s="6">
        <v>185</v>
      </c>
      <c r="L9" s="6"/>
      <c r="M9" s="7">
        <f t="shared" si="0"/>
        <v>810</v>
      </c>
      <c r="N9" s="66"/>
      <c r="O9" s="69"/>
      <c r="P9" s="74" t="s">
        <v>118</v>
      </c>
      <c r="Q9" s="90">
        <f>B9+B30</f>
        <v>107</v>
      </c>
      <c r="R9" s="7">
        <f t="shared" si="1"/>
        <v>1814</v>
      </c>
    </row>
    <row r="10" spans="1:18" ht="19.5" customHeight="1">
      <c r="A10" s="75"/>
      <c r="B10" s="91"/>
      <c r="C10" s="92"/>
      <c r="D10" s="9">
        <v>0</v>
      </c>
      <c r="E10" s="9">
        <v>0</v>
      </c>
      <c r="F10" s="9">
        <v>0</v>
      </c>
      <c r="G10" s="9">
        <v>153</v>
      </c>
      <c r="H10" s="9">
        <v>0</v>
      </c>
      <c r="I10" s="9">
        <v>0</v>
      </c>
      <c r="J10" s="9">
        <v>0</v>
      </c>
      <c r="K10" s="9">
        <v>47</v>
      </c>
      <c r="L10" s="9"/>
      <c r="M10" s="10">
        <f t="shared" si="0"/>
        <v>200</v>
      </c>
      <c r="N10" s="66"/>
      <c r="O10" s="69"/>
      <c r="P10" s="75"/>
      <c r="Q10" s="91"/>
      <c r="R10" s="10">
        <f t="shared" si="1"/>
        <v>533</v>
      </c>
    </row>
    <row r="11" spans="1:18" ht="19.5" customHeight="1">
      <c r="A11" s="74" t="s">
        <v>119</v>
      </c>
      <c r="B11" s="90">
        <v>14</v>
      </c>
      <c r="C11" s="80">
        <v>3</v>
      </c>
      <c r="D11" s="6">
        <v>0</v>
      </c>
      <c r="E11" s="6">
        <v>0</v>
      </c>
      <c r="F11" s="6">
        <v>0</v>
      </c>
      <c r="G11" s="6">
        <v>2060</v>
      </c>
      <c r="H11" s="6">
        <v>0</v>
      </c>
      <c r="I11" s="6">
        <v>0</v>
      </c>
      <c r="J11" s="6">
        <v>0</v>
      </c>
      <c r="K11" s="6">
        <v>0</v>
      </c>
      <c r="L11" s="6"/>
      <c r="M11" s="7">
        <f t="shared" si="0"/>
        <v>2060</v>
      </c>
      <c r="N11" s="66"/>
      <c r="O11" s="69"/>
      <c r="P11" s="74" t="s">
        <v>119</v>
      </c>
      <c r="Q11" s="90">
        <f>B11+B32</f>
        <v>152</v>
      </c>
      <c r="R11" s="7">
        <f t="shared" si="1"/>
        <v>6861</v>
      </c>
    </row>
    <row r="12" spans="1:18" ht="19.5" customHeight="1">
      <c r="A12" s="75"/>
      <c r="B12" s="91"/>
      <c r="C12" s="92"/>
      <c r="D12" s="9">
        <v>0</v>
      </c>
      <c r="E12" s="9">
        <v>0</v>
      </c>
      <c r="F12" s="9">
        <v>0</v>
      </c>
      <c r="G12" s="9">
        <v>310</v>
      </c>
      <c r="H12" s="9">
        <v>0</v>
      </c>
      <c r="I12" s="9">
        <v>0</v>
      </c>
      <c r="J12" s="9">
        <v>0</v>
      </c>
      <c r="K12" s="9">
        <v>0</v>
      </c>
      <c r="L12" s="9"/>
      <c r="M12" s="10">
        <f t="shared" si="0"/>
        <v>310</v>
      </c>
      <c r="N12" s="66"/>
      <c r="O12" s="69"/>
      <c r="P12" s="75"/>
      <c r="Q12" s="91"/>
      <c r="R12" s="10">
        <f t="shared" si="1"/>
        <v>1057</v>
      </c>
    </row>
    <row r="13" spans="1:18" s="51" customFormat="1" ht="19.5" customHeight="1">
      <c r="A13" s="74" t="s">
        <v>101</v>
      </c>
      <c r="B13" s="93">
        <v>14</v>
      </c>
      <c r="C13" s="80">
        <v>3</v>
      </c>
      <c r="D13" s="6">
        <v>0</v>
      </c>
      <c r="E13" s="6">
        <v>150</v>
      </c>
      <c r="F13" s="6">
        <v>550</v>
      </c>
      <c r="G13" s="6">
        <v>1210</v>
      </c>
      <c r="H13" s="6">
        <v>150</v>
      </c>
      <c r="I13" s="6">
        <v>830</v>
      </c>
      <c r="J13" s="6">
        <v>300</v>
      </c>
      <c r="K13" s="6">
        <v>0</v>
      </c>
      <c r="L13" s="6"/>
      <c r="M13" s="7">
        <f t="shared" si="0"/>
        <v>3190</v>
      </c>
      <c r="N13" s="67"/>
      <c r="O13" s="70"/>
      <c r="P13" s="74" t="s">
        <v>101</v>
      </c>
      <c r="Q13" s="90">
        <f>B13+B34</f>
        <v>166</v>
      </c>
      <c r="R13" s="7">
        <f t="shared" si="1"/>
        <v>10532</v>
      </c>
    </row>
    <row r="14" spans="1:18" s="51" customFormat="1" ht="19.5" customHeight="1">
      <c r="A14" s="75"/>
      <c r="B14" s="94"/>
      <c r="C14" s="92"/>
      <c r="D14" s="9">
        <v>0</v>
      </c>
      <c r="E14" s="9">
        <v>15</v>
      </c>
      <c r="F14" s="9">
        <v>293</v>
      </c>
      <c r="G14" s="9">
        <v>276</v>
      </c>
      <c r="H14" s="9">
        <v>28</v>
      </c>
      <c r="I14" s="9">
        <v>194</v>
      </c>
      <c r="J14" s="9">
        <v>72</v>
      </c>
      <c r="K14" s="9">
        <v>0</v>
      </c>
      <c r="L14" s="9"/>
      <c r="M14" s="10">
        <f t="shared" si="0"/>
        <v>878</v>
      </c>
      <c r="N14" s="67"/>
      <c r="O14" s="70"/>
      <c r="P14" s="75"/>
      <c r="Q14" s="91"/>
      <c r="R14" s="10">
        <f t="shared" si="1"/>
        <v>1986</v>
      </c>
    </row>
    <row r="15" spans="1:18" ht="19.5" customHeight="1">
      <c r="A15" s="74" t="s">
        <v>102</v>
      </c>
      <c r="B15" s="90">
        <v>27</v>
      </c>
      <c r="C15" s="80">
        <v>4</v>
      </c>
      <c r="D15" s="6">
        <v>50</v>
      </c>
      <c r="E15" s="6">
        <v>0</v>
      </c>
      <c r="F15" s="6">
        <v>300</v>
      </c>
      <c r="G15" s="6">
        <v>2150</v>
      </c>
      <c r="H15" s="6">
        <v>300</v>
      </c>
      <c r="I15" s="6">
        <v>0</v>
      </c>
      <c r="J15" s="6">
        <v>0</v>
      </c>
      <c r="K15" s="6">
        <v>0</v>
      </c>
      <c r="L15" s="6"/>
      <c r="M15" s="7">
        <f t="shared" si="0"/>
        <v>2800</v>
      </c>
      <c r="P15" s="74" t="s">
        <v>102</v>
      </c>
      <c r="Q15" s="90">
        <f>B15+B36</f>
        <v>296</v>
      </c>
      <c r="R15" s="7">
        <f t="shared" si="1"/>
        <v>6702</v>
      </c>
    </row>
    <row r="16" spans="1:18" ht="19.5" customHeight="1">
      <c r="A16" s="75"/>
      <c r="B16" s="91"/>
      <c r="C16" s="92"/>
      <c r="D16" s="9">
        <v>0</v>
      </c>
      <c r="E16" s="9">
        <v>0</v>
      </c>
      <c r="F16" s="9">
        <v>0</v>
      </c>
      <c r="G16" s="9">
        <v>52</v>
      </c>
      <c r="H16" s="9">
        <v>0</v>
      </c>
      <c r="I16" s="9">
        <v>0</v>
      </c>
      <c r="J16" s="9">
        <v>0</v>
      </c>
      <c r="K16" s="9">
        <v>0</v>
      </c>
      <c r="L16" s="9"/>
      <c r="M16" s="10">
        <f t="shared" si="0"/>
        <v>52</v>
      </c>
      <c r="P16" s="75"/>
      <c r="Q16" s="91"/>
      <c r="R16" s="10">
        <f t="shared" si="1"/>
        <v>1382</v>
      </c>
    </row>
    <row r="17" spans="1:18" ht="19.5" customHeight="1">
      <c r="A17" s="74" t="s">
        <v>120</v>
      </c>
      <c r="B17" s="90">
        <v>74</v>
      </c>
      <c r="C17" s="80">
        <v>8</v>
      </c>
      <c r="D17" s="6">
        <v>1000</v>
      </c>
      <c r="E17" s="6">
        <v>100</v>
      </c>
      <c r="F17" s="6">
        <v>400</v>
      </c>
      <c r="G17" s="6">
        <v>8639</v>
      </c>
      <c r="H17" s="6">
        <v>3350</v>
      </c>
      <c r="I17" s="6">
        <v>1610</v>
      </c>
      <c r="J17" s="6">
        <v>250</v>
      </c>
      <c r="K17" s="6">
        <v>30</v>
      </c>
      <c r="L17" s="6"/>
      <c r="M17" s="7">
        <f t="shared" si="0"/>
        <v>15379</v>
      </c>
      <c r="P17" s="74" t="s">
        <v>120</v>
      </c>
      <c r="Q17" s="90">
        <f>B17+B38</f>
        <v>281</v>
      </c>
      <c r="R17" s="7">
        <f t="shared" si="1"/>
        <v>24858</v>
      </c>
    </row>
    <row r="18" spans="1:18" ht="19.5" customHeight="1">
      <c r="A18" s="75"/>
      <c r="B18" s="91"/>
      <c r="C18" s="92"/>
      <c r="D18" s="9">
        <v>211</v>
      </c>
      <c r="E18" s="9">
        <v>0</v>
      </c>
      <c r="F18" s="9">
        <v>100</v>
      </c>
      <c r="G18" s="9">
        <v>882</v>
      </c>
      <c r="H18" s="9">
        <v>763</v>
      </c>
      <c r="I18" s="9">
        <v>327</v>
      </c>
      <c r="J18" s="9">
        <v>25</v>
      </c>
      <c r="K18" s="9">
        <v>0</v>
      </c>
      <c r="L18" s="9"/>
      <c r="M18" s="10">
        <f t="shared" si="0"/>
        <v>2308</v>
      </c>
      <c r="P18" s="75"/>
      <c r="Q18" s="91"/>
      <c r="R18" s="10">
        <f t="shared" si="1"/>
        <v>3928</v>
      </c>
    </row>
    <row r="19" spans="1:18" ht="19.5" customHeight="1">
      <c r="A19" s="74" t="s">
        <v>121</v>
      </c>
      <c r="B19" s="76">
        <f>SUM(B5:B18)</f>
        <v>260</v>
      </c>
      <c r="C19" s="76">
        <f>SUM(C5:C18)</f>
        <v>27</v>
      </c>
      <c r="D19" s="7">
        <f>D5+D7+D9+D11+D13+D15+D17</f>
        <v>1600</v>
      </c>
      <c r="E19" s="7">
        <f aca="true" t="shared" si="2" ref="E19:G20">E5+E7+E9+E11+E13+E15+E17</f>
        <v>1000</v>
      </c>
      <c r="F19" s="7">
        <f t="shared" si="2"/>
        <v>1260</v>
      </c>
      <c r="G19" s="7">
        <f t="shared" si="2"/>
        <v>25852</v>
      </c>
      <c r="H19" s="7">
        <f aca="true" t="shared" si="3" ref="H19:K20">H5+H7+H9+H11+H13+H15+H17</f>
        <v>6100</v>
      </c>
      <c r="I19" s="7">
        <f t="shared" si="3"/>
        <v>4750</v>
      </c>
      <c r="J19" s="7">
        <f t="shared" si="3"/>
        <v>1250</v>
      </c>
      <c r="K19" s="7">
        <f t="shared" si="3"/>
        <v>505</v>
      </c>
      <c r="L19" s="7"/>
      <c r="M19" s="7">
        <f t="shared" si="0"/>
        <v>42317</v>
      </c>
      <c r="P19" s="74" t="s">
        <v>121</v>
      </c>
      <c r="Q19" s="76">
        <f>B19+B40</f>
        <v>1420</v>
      </c>
      <c r="R19" s="7">
        <f t="shared" si="1"/>
        <v>80817</v>
      </c>
    </row>
    <row r="20" spans="1:18" ht="19.5" customHeight="1">
      <c r="A20" s="75"/>
      <c r="B20" s="77"/>
      <c r="C20" s="77"/>
      <c r="D20" s="8">
        <f>D6+D8+D10+D12+D14+D16+D18</f>
        <v>320</v>
      </c>
      <c r="E20" s="8">
        <f t="shared" si="2"/>
        <v>142</v>
      </c>
      <c r="F20" s="8">
        <f t="shared" si="2"/>
        <v>393</v>
      </c>
      <c r="G20" s="8">
        <f t="shared" si="2"/>
        <v>3699</v>
      </c>
      <c r="H20" s="8">
        <f t="shared" si="3"/>
        <v>1229</v>
      </c>
      <c r="I20" s="8">
        <f t="shared" si="3"/>
        <v>1314</v>
      </c>
      <c r="J20" s="8">
        <f t="shared" si="3"/>
        <v>158</v>
      </c>
      <c r="K20" s="8">
        <f t="shared" si="3"/>
        <v>137</v>
      </c>
      <c r="L20" s="8"/>
      <c r="M20" s="8">
        <f t="shared" si="0"/>
        <v>7392</v>
      </c>
      <c r="P20" s="75"/>
      <c r="Q20" s="77"/>
      <c r="R20" s="8">
        <f t="shared" si="1"/>
        <v>14581</v>
      </c>
    </row>
    <row r="21" spans="1:17" ht="19.5" customHeight="1">
      <c r="A21" s="13"/>
      <c r="B21" s="14"/>
      <c r="C21" s="4"/>
      <c r="D21" s="15"/>
      <c r="E21" s="15"/>
      <c r="F21" s="32"/>
      <c r="G21" s="15"/>
      <c r="H21" s="15"/>
      <c r="I21" s="15"/>
      <c r="J21" s="32"/>
      <c r="K21" s="32"/>
      <c r="L21" s="15"/>
      <c r="M21" s="15"/>
      <c r="N21" s="2"/>
      <c r="O21" s="2"/>
      <c r="P21" s="2"/>
      <c r="Q21" s="2"/>
    </row>
    <row r="22" spans="1:17" ht="19.5" customHeight="1">
      <c r="A22" s="13"/>
      <c r="B22" s="14"/>
      <c r="C22" s="4"/>
      <c r="D22" s="15"/>
      <c r="E22" s="15"/>
      <c r="F22" s="32"/>
      <c r="G22" s="15"/>
      <c r="H22" s="15"/>
      <c r="I22" s="15"/>
      <c r="J22" s="32"/>
      <c r="K22" s="32"/>
      <c r="L22" s="15"/>
      <c r="M22" s="15"/>
      <c r="N22" s="2"/>
      <c r="O22" s="2"/>
      <c r="P22" s="2"/>
      <c r="Q22" s="2"/>
    </row>
    <row r="23" spans="1:17" ht="19.5" customHeight="1">
      <c r="A23" s="11" t="s">
        <v>122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9.5" customHeight="1">
      <c r="A24" s="83" t="s">
        <v>179</v>
      </c>
      <c r="B24" s="85" t="s">
        <v>106</v>
      </c>
      <c r="C24" s="3" t="s">
        <v>107</v>
      </c>
      <c r="D24" s="87" t="s">
        <v>108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</row>
    <row r="25" spans="1:18" ht="19.5" customHeight="1">
      <c r="A25" s="84"/>
      <c r="B25" s="86"/>
      <c r="C25" s="5" t="s">
        <v>109</v>
      </c>
      <c r="D25" s="5" t="s">
        <v>11</v>
      </c>
      <c r="E25" s="5" t="s">
        <v>13</v>
      </c>
      <c r="F25" s="5" t="s">
        <v>12</v>
      </c>
      <c r="G25" s="5" t="s">
        <v>164</v>
      </c>
      <c r="H25" s="5" t="s">
        <v>14</v>
      </c>
      <c r="I25" s="5" t="s">
        <v>15</v>
      </c>
      <c r="J25" s="5" t="s">
        <v>16</v>
      </c>
      <c r="K25" s="5" t="s">
        <v>130</v>
      </c>
      <c r="L25" s="54" t="s">
        <v>95</v>
      </c>
      <c r="M25" s="54" t="s">
        <v>65</v>
      </c>
      <c r="N25" s="54" t="s">
        <v>86</v>
      </c>
      <c r="O25" s="5" t="s">
        <v>133</v>
      </c>
      <c r="P25" s="5" t="s">
        <v>151</v>
      </c>
      <c r="Q25" s="5" t="s">
        <v>185</v>
      </c>
      <c r="R25" s="12" t="s">
        <v>115</v>
      </c>
    </row>
    <row r="26" spans="1:18" ht="19.5" customHeight="1">
      <c r="A26" s="74" t="s">
        <v>159</v>
      </c>
      <c r="B26" s="76">
        <v>173</v>
      </c>
      <c r="C26" s="80">
        <v>5</v>
      </c>
      <c r="D26" s="6">
        <v>26</v>
      </c>
      <c r="E26" s="6">
        <v>5</v>
      </c>
      <c r="F26" s="6">
        <v>60</v>
      </c>
      <c r="G26" s="6">
        <v>0</v>
      </c>
      <c r="H26" s="78">
        <v>1445</v>
      </c>
      <c r="I26" s="79"/>
      <c r="J26" s="6">
        <v>14</v>
      </c>
      <c r="K26" s="6">
        <v>0</v>
      </c>
      <c r="L26" s="6">
        <v>1496</v>
      </c>
      <c r="M26" s="6">
        <v>1101</v>
      </c>
      <c r="N26" s="6">
        <v>100</v>
      </c>
      <c r="O26" s="6">
        <v>581</v>
      </c>
      <c r="P26" s="6">
        <v>0</v>
      </c>
      <c r="Q26" s="6">
        <v>0</v>
      </c>
      <c r="R26" s="7">
        <f aca="true" t="shared" si="4" ref="R26:R41">SUM(D26:Q26)</f>
        <v>4828</v>
      </c>
    </row>
    <row r="27" spans="1:18" ht="19.5" customHeight="1">
      <c r="A27" s="75"/>
      <c r="B27" s="77"/>
      <c r="C27" s="81"/>
      <c r="D27" s="9">
        <v>5</v>
      </c>
      <c r="E27" s="9">
        <v>1</v>
      </c>
      <c r="F27" s="9">
        <v>23</v>
      </c>
      <c r="G27" s="9">
        <v>0</v>
      </c>
      <c r="H27" s="9">
        <v>106</v>
      </c>
      <c r="I27" s="46">
        <v>141</v>
      </c>
      <c r="J27" s="9">
        <v>2</v>
      </c>
      <c r="K27" s="9">
        <v>0</v>
      </c>
      <c r="L27" s="9">
        <v>150</v>
      </c>
      <c r="M27" s="9">
        <v>163</v>
      </c>
      <c r="N27" s="9">
        <v>49</v>
      </c>
      <c r="O27" s="9">
        <v>13</v>
      </c>
      <c r="P27" s="9">
        <v>0</v>
      </c>
      <c r="Q27" s="9">
        <v>0</v>
      </c>
      <c r="R27" s="8">
        <f t="shared" si="4"/>
        <v>653</v>
      </c>
    </row>
    <row r="28" spans="1:18" ht="19.5" customHeight="1">
      <c r="A28" s="74" t="s">
        <v>178</v>
      </c>
      <c r="B28" s="76">
        <v>130</v>
      </c>
      <c r="C28" s="80">
        <v>2</v>
      </c>
      <c r="D28" s="6">
        <v>15</v>
      </c>
      <c r="E28" s="6">
        <v>140</v>
      </c>
      <c r="F28" s="6">
        <v>1191</v>
      </c>
      <c r="G28" s="6">
        <v>30</v>
      </c>
      <c r="H28" s="78">
        <v>480</v>
      </c>
      <c r="I28" s="79"/>
      <c r="J28" s="6">
        <v>315</v>
      </c>
      <c r="K28" s="6">
        <v>235</v>
      </c>
      <c r="L28" s="6">
        <v>2092</v>
      </c>
      <c r="M28" s="6">
        <v>1433</v>
      </c>
      <c r="N28" s="6">
        <v>40</v>
      </c>
      <c r="O28" s="6">
        <v>1143</v>
      </c>
      <c r="P28" s="6">
        <v>0</v>
      </c>
      <c r="Q28" s="6">
        <v>30</v>
      </c>
      <c r="R28" s="7">
        <f t="shared" si="4"/>
        <v>7144</v>
      </c>
    </row>
    <row r="29" spans="1:18" ht="19.5" customHeight="1">
      <c r="A29" s="75"/>
      <c r="B29" s="77"/>
      <c r="C29" s="81"/>
      <c r="D29" s="9">
        <v>9</v>
      </c>
      <c r="E29" s="9">
        <v>2</v>
      </c>
      <c r="F29" s="9">
        <v>281</v>
      </c>
      <c r="G29" s="9">
        <v>0</v>
      </c>
      <c r="H29" s="9">
        <v>15</v>
      </c>
      <c r="I29" s="46">
        <v>16</v>
      </c>
      <c r="J29" s="9">
        <v>30</v>
      </c>
      <c r="K29" s="9">
        <v>48</v>
      </c>
      <c r="L29" s="9">
        <v>620</v>
      </c>
      <c r="M29" s="9">
        <v>231</v>
      </c>
      <c r="N29" s="9">
        <v>2</v>
      </c>
      <c r="O29" s="9">
        <v>144</v>
      </c>
      <c r="P29" s="9">
        <v>0</v>
      </c>
      <c r="Q29" s="9">
        <v>0</v>
      </c>
      <c r="R29" s="8">
        <f t="shared" si="4"/>
        <v>1398</v>
      </c>
    </row>
    <row r="30" spans="1:18" s="51" customFormat="1" ht="19.5" customHeight="1">
      <c r="A30" s="74" t="s">
        <v>118</v>
      </c>
      <c r="B30" s="76">
        <v>91</v>
      </c>
      <c r="C30" s="80">
        <v>3</v>
      </c>
      <c r="D30" s="6">
        <v>18</v>
      </c>
      <c r="E30" s="6">
        <v>17</v>
      </c>
      <c r="F30" s="6">
        <v>37</v>
      </c>
      <c r="G30" s="6">
        <v>0</v>
      </c>
      <c r="H30" s="78">
        <v>349</v>
      </c>
      <c r="I30" s="79"/>
      <c r="J30" s="6">
        <v>116</v>
      </c>
      <c r="K30" s="6">
        <v>0</v>
      </c>
      <c r="L30" s="6">
        <v>373</v>
      </c>
      <c r="M30" s="6">
        <v>67</v>
      </c>
      <c r="N30" s="6">
        <v>0</v>
      </c>
      <c r="O30" s="6">
        <v>27</v>
      </c>
      <c r="P30" s="6">
        <v>0</v>
      </c>
      <c r="Q30" s="6">
        <v>0</v>
      </c>
      <c r="R30" s="7">
        <f t="shared" si="4"/>
        <v>1004</v>
      </c>
    </row>
    <row r="31" spans="1:18" s="51" customFormat="1" ht="19.5" customHeight="1">
      <c r="A31" s="75"/>
      <c r="B31" s="77"/>
      <c r="C31" s="81"/>
      <c r="D31" s="9">
        <v>2</v>
      </c>
      <c r="E31" s="9">
        <v>2</v>
      </c>
      <c r="F31" s="9">
        <v>9</v>
      </c>
      <c r="G31" s="9">
        <v>0</v>
      </c>
      <c r="H31" s="9">
        <v>86</v>
      </c>
      <c r="I31" s="46">
        <v>89</v>
      </c>
      <c r="J31" s="9">
        <v>28</v>
      </c>
      <c r="K31" s="9">
        <v>0</v>
      </c>
      <c r="L31" s="9">
        <v>70</v>
      </c>
      <c r="M31" s="9">
        <v>30</v>
      </c>
      <c r="N31" s="9">
        <v>0</v>
      </c>
      <c r="O31" s="9">
        <v>17</v>
      </c>
      <c r="P31" s="9">
        <v>0</v>
      </c>
      <c r="Q31" s="9">
        <v>0</v>
      </c>
      <c r="R31" s="8">
        <f t="shared" si="4"/>
        <v>333</v>
      </c>
    </row>
    <row r="32" spans="1:18" ht="19.5" customHeight="1">
      <c r="A32" s="74" t="s">
        <v>119</v>
      </c>
      <c r="B32" s="76">
        <v>138</v>
      </c>
      <c r="C32" s="80">
        <v>4</v>
      </c>
      <c r="D32" s="6">
        <v>2</v>
      </c>
      <c r="E32" s="6">
        <v>25</v>
      </c>
      <c r="F32" s="6">
        <v>525</v>
      </c>
      <c r="G32" s="6">
        <v>0</v>
      </c>
      <c r="H32" s="78">
        <v>1205</v>
      </c>
      <c r="I32" s="79"/>
      <c r="J32" s="6">
        <v>84</v>
      </c>
      <c r="K32" s="6">
        <v>0</v>
      </c>
      <c r="L32" s="6">
        <v>1430</v>
      </c>
      <c r="M32" s="6">
        <v>1020</v>
      </c>
      <c r="N32" s="6">
        <v>0</v>
      </c>
      <c r="O32" s="6">
        <v>510</v>
      </c>
      <c r="P32" s="6">
        <v>0</v>
      </c>
      <c r="Q32" s="6">
        <v>0</v>
      </c>
      <c r="R32" s="7">
        <f t="shared" si="4"/>
        <v>4801</v>
      </c>
    </row>
    <row r="33" spans="1:18" ht="19.5" customHeight="1">
      <c r="A33" s="75"/>
      <c r="B33" s="77"/>
      <c r="C33" s="81"/>
      <c r="D33" s="9">
        <v>1</v>
      </c>
      <c r="E33" s="9">
        <v>0</v>
      </c>
      <c r="F33" s="9">
        <v>54</v>
      </c>
      <c r="G33" s="9">
        <v>0</v>
      </c>
      <c r="H33" s="9">
        <v>107</v>
      </c>
      <c r="I33" s="46">
        <v>158</v>
      </c>
      <c r="J33" s="9">
        <v>9</v>
      </c>
      <c r="K33" s="9">
        <v>0</v>
      </c>
      <c r="L33" s="9">
        <v>228</v>
      </c>
      <c r="M33" s="9">
        <v>171</v>
      </c>
      <c r="N33" s="9">
        <v>0</v>
      </c>
      <c r="O33" s="9">
        <v>19</v>
      </c>
      <c r="P33" s="9">
        <v>0</v>
      </c>
      <c r="Q33" s="9">
        <v>0</v>
      </c>
      <c r="R33" s="8">
        <f t="shared" si="4"/>
        <v>747</v>
      </c>
    </row>
    <row r="34" spans="1:18" s="51" customFormat="1" ht="19.5" customHeight="1">
      <c r="A34" s="74" t="s">
        <v>101</v>
      </c>
      <c r="B34" s="76">
        <v>152</v>
      </c>
      <c r="C34" s="80">
        <v>6</v>
      </c>
      <c r="D34" s="6">
        <v>82</v>
      </c>
      <c r="E34" s="6">
        <v>130</v>
      </c>
      <c r="F34" s="6">
        <v>1150</v>
      </c>
      <c r="G34" s="6">
        <v>0</v>
      </c>
      <c r="H34" s="78">
        <v>600</v>
      </c>
      <c r="I34" s="79"/>
      <c r="J34" s="6">
        <v>692</v>
      </c>
      <c r="K34" s="6">
        <v>0</v>
      </c>
      <c r="L34" s="6">
        <v>2031</v>
      </c>
      <c r="M34" s="6">
        <v>1611</v>
      </c>
      <c r="N34" s="6">
        <v>0</v>
      </c>
      <c r="O34" s="6">
        <v>1020</v>
      </c>
      <c r="P34" s="6">
        <v>26</v>
      </c>
      <c r="Q34" s="6">
        <v>0</v>
      </c>
      <c r="R34" s="7">
        <f t="shared" si="4"/>
        <v>7342</v>
      </c>
    </row>
    <row r="35" spans="1:18" s="51" customFormat="1" ht="19.5" customHeight="1">
      <c r="A35" s="75"/>
      <c r="B35" s="77"/>
      <c r="C35" s="81"/>
      <c r="D35" s="9">
        <v>27</v>
      </c>
      <c r="E35" s="9">
        <v>2</v>
      </c>
      <c r="F35" s="9">
        <v>176</v>
      </c>
      <c r="G35" s="9">
        <v>0</v>
      </c>
      <c r="H35" s="9">
        <v>60</v>
      </c>
      <c r="I35" s="46">
        <v>64</v>
      </c>
      <c r="J35" s="9">
        <v>118</v>
      </c>
      <c r="K35" s="9">
        <v>0</v>
      </c>
      <c r="L35" s="9">
        <v>463</v>
      </c>
      <c r="M35" s="9">
        <v>176</v>
      </c>
      <c r="N35" s="9">
        <v>0</v>
      </c>
      <c r="O35" s="9">
        <v>1</v>
      </c>
      <c r="P35" s="9">
        <v>21</v>
      </c>
      <c r="Q35" s="9">
        <v>0</v>
      </c>
      <c r="R35" s="8">
        <f t="shared" si="4"/>
        <v>1108</v>
      </c>
    </row>
    <row r="36" spans="1:18" ht="19.5" customHeight="1">
      <c r="A36" s="74" t="s">
        <v>102</v>
      </c>
      <c r="B36" s="76">
        <v>269</v>
      </c>
      <c r="C36" s="80">
        <v>5</v>
      </c>
      <c r="D36" s="6">
        <v>59</v>
      </c>
      <c r="E36" s="6">
        <v>0</v>
      </c>
      <c r="F36" s="6">
        <v>120</v>
      </c>
      <c r="G36" s="6">
        <v>60</v>
      </c>
      <c r="H36" s="78">
        <v>881</v>
      </c>
      <c r="I36" s="82"/>
      <c r="J36" s="6">
        <v>1099</v>
      </c>
      <c r="K36" s="6">
        <v>0</v>
      </c>
      <c r="L36" s="6">
        <v>876</v>
      </c>
      <c r="M36" s="6">
        <v>635</v>
      </c>
      <c r="N36" s="6">
        <v>0</v>
      </c>
      <c r="O36" s="6">
        <v>60</v>
      </c>
      <c r="P36" s="6">
        <v>52</v>
      </c>
      <c r="Q36" s="6">
        <v>60</v>
      </c>
      <c r="R36" s="7">
        <f t="shared" si="4"/>
        <v>3902</v>
      </c>
    </row>
    <row r="37" spans="1:18" ht="19.5" customHeight="1">
      <c r="A37" s="75"/>
      <c r="B37" s="77"/>
      <c r="C37" s="81"/>
      <c r="D37" s="9">
        <v>25</v>
      </c>
      <c r="E37" s="9">
        <v>0</v>
      </c>
      <c r="F37" s="9">
        <v>21</v>
      </c>
      <c r="G37" s="9">
        <v>0</v>
      </c>
      <c r="H37" s="9">
        <v>295</v>
      </c>
      <c r="I37" s="46">
        <v>246</v>
      </c>
      <c r="J37" s="9">
        <v>250</v>
      </c>
      <c r="K37" s="9">
        <v>0</v>
      </c>
      <c r="L37" s="9">
        <v>248</v>
      </c>
      <c r="M37" s="9">
        <v>202</v>
      </c>
      <c r="N37" s="9">
        <v>0</v>
      </c>
      <c r="O37" s="9">
        <v>0</v>
      </c>
      <c r="P37" s="9">
        <v>43</v>
      </c>
      <c r="Q37" s="9">
        <v>0</v>
      </c>
      <c r="R37" s="8">
        <f t="shared" si="4"/>
        <v>1330</v>
      </c>
    </row>
    <row r="38" spans="1:18" ht="19.5" customHeight="1">
      <c r="A38" s="74" t="s">
        <v>120</v>
      </c>
      <c r="B38" s="76">
        <v>207</v>
      </c>
      <c r="C38" s="80">
        <v>7</v>
      </c>
      <c r="D38" s="6">
        <v>19</v>
      </c>
      <c r="E38" s="6">
        <v>100</v>
      </c>
      <c r="F38" s="6">
        <v>488</v>
      </c>
      <c r="G38" s="6">
        <v>0</v>
      </c>
      <c r="H38" s="78">
        <v>350</v>
      </c>
      <c r="I38" s="79"/>
      <c r="J38" s="6">
        <v>116</v>
      </c>
      <c r="K38" s="6">
        <v>0</v>
      </c>
      <c r="L38" s="6">
        <v>6920</v>
      </c>
      <c r="M38" s="6">
        <v>931</v>
      </c>
      <c r="N38" s="6">
        <v>0</v>
      </c>
      <c r="O38" s="6">
        <v>555</v>
      </c>
      <c r="P38" s="6">
        <v>0</v>
      </c>
      <c r="Q38" s="6">
        <v>0</v>
      </c>
      <c r="R38" s="7">
        <f t="shared" si="4"/>
        <v>9479</v>
      </c>
    </row>
    <row r="39" spans="1:18" ht="19.5" customHeight="1">
      <c r="A39" s="75"/>
      <c r="B39" s="77"/>
      <c r="C39" s="81"/>
      <c r="D39" s="9">
        <v>10</v>
      </c>
      <c r="E39" s="9">
        <v>4</v>
      </c>
      <c r="F39" s="9">
        <v>82</v>
      </c>
      <c r="G39" s="9">
        <v>0</v>
      </c>
      <c r="H39" s="9">
        <v>185</v>
      </c>
      <c r="I39" s="46">
        <v>197</v>
      </c>
      <c r="J39" s="9">
        <v>60</v>
      </c>
      <c r="K39" s="9">
        <v>0</v>
      </c>
      <c r="L39" s="9">
        <v>897</v>
      </c>
      <c r="M39" s="9">
        <v>173</v>
      </c>
      <c r="N39" s="9">
        <v>0</v>
      </c>
      <c r="O39" s="9">
        <v>12</v>
      </c>
      <c r="P39" s="9">
        <v>0</v>
      </c>
      <c r="Q39" s="9">
        <v>0</v>
      </c>
      <c r="R39" s="8">
        <f t="shared" si="4"/>
        <v>1620</v>
      </c>
    </row>
    <row r="40" spans="1:18" ht="19.5" customHeight="1">
      <c r="A40" s="74" t="s">
        <v>136</v>
      </c>
      <c r="B40" s="76">
        <f>SUM(B26:B39)</f>
        <v>1160</v>
      </c>
      <c r="C40" s="76">
        <f>SUM(C26:C39)</f>
        <v>32</v>
      </c>
      <c r="D40" s="7">
        <f aca="true" t="shared" si="5" ref="D40:H41">D26+D28+D30+D32+D34+D36+D38</f>
        <v>221</v>
      </c>
      <c r="E40" s="7">
        <f t="shared" si="5"/>
        <v>417</v>
      </c>
      <c r="F40" s="7">
        <f t="shared" si="5"/>
        <v>3571</v>
      </c>
      <c r="G40" s="7">
        <f t="shared" si="5"/>
        <v>90</v>
      </c>
      <c r="H40" s="78">
        <f t="shared" si="5"/>
        <v>5310</v>
      </c>
      <c r="I40" s="79"/>
      <c r="J40" s="7">
        <f aca="true" t="shared" si="6" ref="J40:Q41">J26+J28+J30+J32+J34+J36+J38</f>
        <v>2436</v>
      </c>
      <c r="K40" s="7">
        <f t="shared" si="6"/>
        <v>235</v>
      </c>
      <c r="L40" s="7">
        <f t="shared" si="6"/>
        <v>15218</v>
      </c>
      <c r="M40" s="7">
        <f t="shared" si="6"/>
        <v>6798</v>
      </c>
      <c r="N40" s="7">
        <f t="shared" si="6"/>
        <v>140</v>
      </c>
      <c r="O40" s="7">
        <f t="shared" si="6"/>
        <v>3896</v>
      </c>
      <c r="P40" s="7">
        <f t="shared" si="6"/>
        <v>78</v>
      </c>
      <c r="Q40" s="7">
        <f t="shared" si="6"/>
        <v>90</v>
      </c>
      <c r="R40" s="7">
        <f t="shared" si="4"/>
        <v>38500</v>
      </c>
    </row>
    <row r="41" spans="1:18" ht="19.5" customHeight="1">
      <c r="A41" s="75"/>
      <c r="B41" s="77"/>
      <c r="C41" s="77"/>
      <c r="D41" s="8">
        <f t="shared" si="5"/>
        <v>79</v>
      </c>
      <c r="E41" s="8">
        <f t="shared" si="5"/>
        <v>11</v>
      </c>
      <c r="F41" s="8">
        <f t="shared" si="5"/>
        <v>646</v>
      </c>
      <c r="G41" s="8">
        <f t="shared" si="5"/>
        <v>0</v>
      </c>
      <c r="H41" s="8">
        <f t="shared" si="5"/>
        <v>854</v>
      </c>
      <c r="I41" s="8">
        <f>I27+I29+I31+I33+I35+I37+I39</f>
        <v>911</v>
      </c>
      <c r="J41" s="8">
        <f t="shared" si="6"/>
        <v>497</v>
      </c>
      <c r="K41" s="8">
        <f t="shared" si="6"/>
        <v>48</v>
      </c>
      <c r="L41" s="8">
        <f t="shared" si="6"/>
        <v>2676</v>
      </c>
      <c r="M41" s="8">
        <f t="shared" si="6"/>
        <v>1146</v>
      </c>
      <c r="N41" s="8">
        <f t="shared" si="6"/>
        <v>51</v>
      </c>
      <c r="O41" s="8">
        <f t="shared" si="6"/>
        <v>206</v>
      </c>
      <c r="P41" s="8">
        <f t="shared" si="6"/>
        <v>64</v>
      </c>
      <c r="Q41" s="8">
        <f t="shared" si="6"/>
        <v>0</v>
      </c>
      <c r="R41" s="8">
        <f t="shared" si="4"/>
        <v>7189</v>
      </c>
    </row>
    <row r="42" ht="18.75" customHeight="1"/>
    <row r="43" ht="18.75" customHeight="1">
      <c r="A43" t="s">
        <v>213</v>
      </c>
    </row>
    <row r="44" ht="18.75" customHeight="1"/>
  </sheetData>
  <sheetProtection/>
  <mergeCells count="81">
    <mergeCell ref="A40:A41"/>
    <mergeCell ref="B40:B41"/>
    <mergeCell ref="C40:C41"/>
    <mergeCell ref="H40:I40"/>
    <mergeCell ref="A36:A37"/>
    <mergeCell ref="B36:B37"/>
    <mergeCell ref="C36:C37"/>
    <mergeCell ref="H36:I36"/>
    <mergeCell ref="A38:A39"/>
    <mergeCell ref="B38:B39"/>
    <mergeCell ref="C38:C39"/>
    <mergeCell ref="H38:I38"/>
    <mergeCell ref="A32:A33"/>
    <mergeCell ref="B32:B33"/>
    <mergeCell ref="C32:C33"/>
    <mergeCell ref="H32:I32"/>
    <mergeCell ref="A34:A35"/>
    <mergeCell ref="B34:B35"/>
    <mergeCell ref="C34:C35"/>
    <mergeCell ref="H34:I34"/>
    <mergeCell ref="A28:A29"/>
    <mergeCell ref="B28:B29"/>
    <mergeCell ref="C28:C29"/>
    <mergeCell ref="H28:I28"/>
    <mergeCell ref="A30:A31"/>
    <mergeCell ref="B30:B31"/>
    <mergeCell ref="C30:C31"/>
    <mergeCell ref="H30:I30"/>
    <mergeCell ref="A24:A25"/>
    <mergeCell ref="B24:B25"/>
    <mergeCell ref="D24:R24"/>
    <mergeCell ref="A26:A27"/>
    <mergeCell ref="B26:B27"/>
    <mergeCell ref="C26:C27"/>
    <mergeCell ref="H26:I26"/>
    <mergeCell ref="A17:A18"/>
    <mergeCell ref="B17:B18"/>
    <mergeCell ref="C17:C18"/>
    <mergeCell ref="P17:P18"/>
    <mergeCell ref="Q17:Q18"/>
    <mergeCell ref="A19:A20"/>
    <mergeCell ref="B19:B20"/>
    <mergeCell ref="C19:C20"/>
    <mergeCell ref="P19:P20"/>
    <mergeCell ref="Q19:Q20"/>
    <mergeCell ref="A13:A14"/>
    <mergeCell ref="B13:B14"/>
    <mergeCell ref="C13:C14"/>
    <mergeCell ref="P13:P14"/>
    <mergeCell ref="Q13:Q14"/>
    <mergeCell ref="A15:A16"/>
    <mergeCell ref="B15:B16"/>
    <mergeCell ref="C15:C16"/>
    <mergeCell ref="P15:P16"/>
    <mergeCell ref="Q15:Q16"/>
    <mergeCell ref="A9:A10"/>
    <mergeCell ref="B9:B10"/>
    <mergeCell ref="C9:C10"/>
    <mergeCell ref="P9:P10"/>
    <mergeCell ref="Q9:Q10"/>
    <mergeCell ref="A11:A12"/>
    <mergeCell ref="B11:B12"/>
    <mergeCell ref="C11:C12"/>
    <mergeCell ref="P11:P12"/>
    <mergeCell ref="Q11:Q12"/>
    <mergeCell ref="A5:A6"/>
    <mergeCell ref="B5:B6"/>
    <mergeCell ref="C5:C6"/>
    <mergeCell ref="P5:P6"/>
    <mergeCell ref="Q5:Q6"/>
    <mergeCell ref="A7:A8"/>
    <mergeCell ref="B7:B8"/>
    <mergeCell ref="C7:C8"/>
    <mergeCell ref="P7:P8"/>
    <mergeCell ref="Q7:Q8"/>
    <mergeCell ref="A3:A4"/>
    <mergeCell ref="B3:B4"/>
    <mergeCell ref="C3:C4"/>
    <mergeCell ref="D3:M3"/>
    <mergeCell ref="P3:P4"/>
    <mergeCell ref="Q3:Q4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43"/>
  <sheetViews>
    <sheetView zoomScale="70" zoomScaleNormal="70" zoomScalePageLayoutView="0" workbookViewId="0" topLeftCell="A1">
      <selection activeCell="C5" sqref="C5:C6"/>
    </sheetView>
  </sheetViews>
  <sheetFormatPr defaultColWidth="9.00390625" defaultRowHeight="13.5"/>
  <cols>
    <col min="9" max="9" width="9.00390625" style="51" customWidth="1"/>
  </cols>
  <sheetData>
    <row r="1" spans="1:17" ht="19.5" customHeight="1">
      <c r="A1" s="1" t="s">
        <v>212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168</v>
      </c>
      <c r="Q2" s="2"/>
    </row>
    <row r="3" spans="1:18" ht="19.5" customHeight="1">
      <c r="A3" s="83" t="s">
        <v>179</v>
      </c>
      <c r="B3" s="85" t="s">
        <v>106</v>
      </c>
      <c r="C3" s="95" t="s">
        <v>109</v>
      </c>
      <c r="D3" s="87" t="s">
        <v>108</v>
      </c>
      <c r="E3" s="88"/>
      <c r="F3" s="88"/>
      <c r="G3" s="88"/>
      <c r="H3" s="88"/>
      <c r="I3" s="88"/>
      <c r="J3" s="88"/>
      <c r="K3" s="88"/>
      <c r="L3" s="88"/>
      <c r="M3" s="89"/>
      <c r="N3" s="57"/>
      <c r="O3" s="68"/>
      <c r="P3" s="83" t="s">
        <v>100</v>
      </c>
      <c r="Q3" s="85" t="s">
        <v>106</v>
      </c>
      <c r="R3" s="61" t="s">
        <v>166</v>
      </c>
    </row>
    <row r="4" spans="1:18" ht="19.5" customHeight="1">
      <c r="A4" s="84"/>
      <c r="B4" s="86"/>
      <c r="C4" s="96"/>
      <c r="D4" s="5" t="s">
        <v>110</v>
      </c>
      <c r="E4" s="5" t="s">
        <v>4</v>
      </c>
      <c r="F4" s="5" t="s">
        <v>3</v>
      </c>
      <c r="G4" s="5" t="s">
        <v>39</v>
      </c>
      <c r="H4" s="5" t="s">
        <v>40</v>
      </c>
      <c r="I4" s="5" t="s">
        <v>6</v>
      </c>
      <c r="J4" s="16" t="s">
        <v>36</v>
      </c>
      <c r="K4" s="17" t="s">
        <v>41</v>
      </c>
      <c r="L4" s="17"/>
      <c r="M4" s="12" t="s">
        <v>115</v>
      </c>
      <c r="N4" s="66"/>
      <c r="O4" s="69"/>
      <c r="P4" s="84"/>
      <c r="Q4" s="86"/>
      <c r="R4" s="62" t="s">
        <v>167</v>
      </c>
    </row>
    <row r="5" spans="1:18" ht="19.5" customHeight="1">
      <c r="A5" s="74" t="s">
        <v>159</v>
      </c>
      <c r="B5" s="90">
        <v>73</v>
      </c>
      <c r="C5" s="80">
        <v>6</v>
      </c>
      <c r="D5" s="6">
        <v>250</v>
      </c>
      <c r="E5" s="6">
        <v>300</v>
      </c>
      <c r="F5" s="6">
        <v>0</v>
      </c>
      <c r="G5" s="6">
        <v>3002</v>
      </c>
      <c r="H5" s="6">
        <v>500</v>
      </c>
      <c r="I5" s="6">
        <v>1642</v>
      </c>
      <c r="J5" s="6">
        <v>100</v>
      </c>
      <c r="K5" s="6">
        <v>30</v>
      </c>
      <c r="L5" s="6"/>
      <c r="M5" s="7">
        <f aca="true" t="shared" si="0" ref="M5:M20">SUM(D5:L5)</f>
        <v>5824</v>
      </c>
      <c r="N5" s="66"/>
      <c r="O5" s="69"/>
      <c r="P5" s="74" t="s">
        <v>159</v>
      </c>
      <c r="Q5" s="90">
        <f>B5+B26</f>
        <v>222</v>
      </c>
      <c r="R5" s="7">
        <f aca="true" t="shared" si="1" ref="R5:R20">M5+R26</f>
        <v>8724</v>
      </c>
    </row>
    <row r="6" spans="1:18" ht="19.5" customHeight="1">
      <c r="A6" s="75"/>
      <c r="B6" s="91"/>
      <c r="C6" s="92"/>
      <c r="D6" s="9">
        <v>0</v>
      </c>
      <c r="E6" s="9">
        <v>52</v>
      </c>
      <c r="F6" s="9">
        <v>0</v>
      </c>
      <c r="G6" s="9">
        <v>324</v>
      </c>
      <c r="H6" s="9">
        <v>0</v>
      </c>
      <c r="I6" s="9">
        <v>341</v>
      </c>
      <c r="J6" s="9">
        <v>61</v>
      </c>
      <c r="K6" s="9">
        <v>26</v>
      </c>
      <c r="L6" s="9"/>
      <c r="M6" s="10">
        <f t="shared" si="0"/>
        <v>804</v>
      </c>
      <c r="N6" s="66"/>
      <c r="O6" s="69"/>
      <c r="P6" s="75"/>
      <c r="Q6" s="91"/>
      <c r="R6" s="10">
        <f t="shared" si="1"/>
        <v>1570</v>
      </c>
    </row>
    <row r="7" spans="1:18" ht="19.5" customHeight="1">
      <c r="A7" s="74" t="s">
        <v>178</v>
      </c>
      <c r="B7" s="90">
        <v>33</v>
      </c>
      <c r="C7" s="80">
        <v>2</v>
      </c>
      <c r="D7" s="6">
        <v>200</v>
      </c>
      <c r="E7" s="6">
        <v>300</v>
      </c>
      <c r="F7" s="6">
        <v>0</v>
      </c>
      <c r="G7" s="6">
        <v>4792</v>
      </c>
      <c r="H7" s="6">
        <v>1500</v>
      </c>
      <c r="I7" s="6">
        <v>920</v>
      </c>
      <c r="J7" s="6">
        <v>500</v>
      </c>
      <c r="K7" s="6">
        <v>100</v>
      </c>
      <c r="L7" s="6"/>
      <c r="M7" s="7">
        <f t="shared" si="0"/>
        <v>8312</v>
      </c>
      <c r="N7" s="66"/>
      <c r="O7" s="69"/>
      <c r="P7" s="74" t="s">
        <v>178</v>
      </c>
      <c r="Q7" s="90">
        <f>B7+B28</f>
        <v>187</v>
      </c>
      <c r="R7" s="7">
        <f t="shared" si="1"/>
        <v>14076</v>
      </c>
    </row>
    <row r="8" spans="1:18" ht="19.5" customHeight="1">
      <c r="A8" s="75"/>
      <c r="B8" s="91"/>
      <c r="C8" s="92"/>
      <c r="D8" s="9">
        <v>90</v>
      </c>
      <c r="E8" s="9">
        <v>0</v>
      </c>
      <c r="F8" s="9">
        <v>0</v>
      </c>
      <c r="G8" s="9">
        <v>1252</v>
      </c>
      <c r="H8" s="9">
        <v>201</v>
      </c>
      <c r="I8" s="9">
        <v>239</v>
      </c>
      <c r="J8" s="9">
        <v>0</v>
      </c>
      <c r="K8" s="9">
        <v>43</v>
      </c>
      <c r="L8" s="9"/>
      <c r="M8" s="10">
        <f t="shared" si="0"/>
        <v>1825</v>
      </c>
      <c r="N8" s="66"/>
      <c r="O8" s="69"/>
      <c r="P8" s="75"/>
      <c r="Q8" s="91"/>
      <c r="R8" s="10">
        <f t="shared" si="1"/>
        <v>3454</v>
      </c>
    </row>
    <row r="9" spans="1:18" ht="19.5" customHeight="1">
      <c r="A9" s="74" t="s">
        <v>118</v>
      </c>
      <c r="B9" s="90">
        <v>7</v>
      </c>
      <c r="C9" s="80">
        <v>1</v>
      </c>
      <c r="D9" s="6">
        <v>0</v>
      </c>
      <c r="E9" s="6">
        <v>0</v>
      </c>
      <c r="F9" s="6">
        <v>0</v>
      </c>
      <c r="G9" s="6">
        <v>392</v>
      </c>
      <c r="H9" s="6">
        <v>0</v>
      </c>
      <c r="I9" s="6">
        <v>0</v>
      </c>
      <c r="J9" s="6">
        <v>0</v>
      </c>
      <c r="K9" s="6">
        <v>65</v>
      </c>
      <c r="L9" s="6"/>
      <c r="M9" s="7">
        <f t="shared" si="0"/>
        <v>457</v>
      </c>
      <c r="N9" s="66"/>
      <c r="O9" s="69"/>
      <c r="P9" s="74" t="s">
        <v>118</v>
      </c>
      <c r="Q9" s="90">
        <f>B9+B30</f>
        <v>91</v>
      </c>
      <c r="R9" s="7">
        <f t="shared" si="1"/>
        <v>1249</v>
      </c>
    </row>
    <row r="10" spans="1:18" ht="19.5" customHeight="1">
      <c r="A10" s="75"/>
      <c r="B10" s="91"/>
      <c r="C10" s="92"/>
      <c r="D10" s="9">
        <v>0</v>
      </c>
      <c r="E10" s="9">
        <v>0</v>
      </c>
      <c r="F10" s="9">
        <v>0</v>
      </c>
      <c r="G10" s="9">
        <v>212</v>
      </c>
      <c r="H10" s="9">
        <v>0</v>
      </c>
      <c r="I10" s="9">
        <v>0</v>
      </c>
      <c r="J10" s="9">
        <v>0</v>
      </c>
      <c r="K10" s="9">
        <v>21</v>
      </c>
      <c r="L10" s="9"/>
      <c r="M10" s="10">
        <f t="shared" si="0"/>
        <v>233</v>
      </c>
      <c r="N10" s="66"/>
      <c r="O10" s="69"/>
      <c r="P10" s="75"/>
      <c r="Q10" s="91"/>
      <c r="R10" s="10">
        <f t="shared" si="1"/>
        <v>439</v>
      </c>
    </row>
    <row r="11" spans="1:18" ht="19.5" customHeight="1">
      <c r="A11" s="74" t="s">
        <v>119</v>
      </c>
      <c r="B11" s="90">
        <v>23</v>
      </c>
      <c r="C11" s="80">
        <v>3</v>
      </c>
      <c r="D11" s="6">
        <v>0</v>
      </c>
      <c r="E11" s="6">
        <v>0</v>
      </c>
      <c r="F11" s="6">
        <v>0</v>
      </c>
      <c r="G11" s="6">
        <v>2731</v>
      </c>
      <c r="H11" s="6">
        <v>0</v>
      </c>
      <c r="I11" s="6">
        <v>20</v>
      </c>
      <c r="J11" s="6">
        <v>0</v>
      </c>
      <c r="K11" s="6">
        <v>0</v>
      </c>
      <c r="L11" s="6"/>
      <c r="M11" s="7">
        <f t="shared" si="0"/>
        <v>2751</v>
      </c>
      <c r="N11" s="66"/>
      <c r="O11" s="69"/>
      <c r="P11" s="74" t="s">
        <v>119</v>
      </c>
      <c r="Q11" s="90">
        <f>B11+B32</f>
        <v>150</v>
      </c>
      <c r="R11" s="7">
        <f t="shared" si="1"/>
        <v>6516</v>
      </c>
    </row>
    <row r="12" spans="1:18" ht="19.5" customHeight="1">
      <c r="A12" s="75"/>
      <c r="B12" s="91"/>
      <c r="C12" s="92"/>
      <c r="D12" s="9">
        <v>0</v>
      </c>
      <c r="E12" s="9">
        <v>0</v>
      </c>
      <c r="F12" s="9">
        <v>0</v>
      </c>
      <c r="G12" s="9">
        <v>591</v>
      </c>
      <c r="H12" s="9">
        <v>0</v>
      </c>
      <c r="I12" s="9">
        <v>0</v>
      </c>
      <c r="J12" s="9">
        <v>0</v>
      </c>
      <c r="K12" s="9">
        <v>0</v>
      </c>
      <c r="L12" s="9"/>
      <c r="M12" s="10">
        <f t="shared" si="0"/>
        <v>591</v>
      </c>
      <c r="N12" s="66"/>
      <c r="O12" s="69"/>
      <c r="P12" s="75"/>
      <c r="Q12" s="91"/>
      <c r="R12" s="10">
        <f t="shared" si="1"/>
        <v>1565</v>
      </c>
    </row>
    <row r="13" spans="1:18" s="51" customFormat="1" ht="19.5" customHeight="1">
      <c r="A13" s="74" t="s">
        <v>101</v>
      </c>
      <c r="B13" s="93">
        <v>28</v>
      </c>
      <c r="C13" s="80">
        <v>3</v>
      </c>
      <c r="D13" s="6">
        <v>100</v>
      </c>
      <c r="E13" s="6">
        <v>200</v>
      </c>
      <c r="F13" s="6">
        <v>400</v>
      </c>
      <c r="G13" s="6">
        <v>1060</v>
      </c>
      <c r="H13" s="6">
        <v>300</v>
      </c>
      <c r="I13" s="6">
        <v>650</v>
      </c>
      <c r="J13" s="6">
        <v>300</v>
      </c>
      <c r="K13" s="6">
        <v>10</v>
      </c>
      <c r="L13" s="6"/>
      <c r="M13" s="7">
        <f t="shared" si="0"/>
        <v>3020</v>
      </c>
      <c r="N13" s="67"/>
      <c r="O13" s="70"/>
      <c r="P13" s="74" t="s">
        <v>101</v>
      </c>
      <c r="Q13" s="90">
        <f>B13+B34</f>
        <v>267</v>
      </c>
      <c r="R13" s="7">
        <f t="shared" si="1"/>
        <v>6533</v>
      </c>
    </row>
    <row r="14" spans="1:18" s="51" customFormat="1" ht="19.5" customHeight="1">
      <c r="A14" s="75"/>
      <c r="B14" s="94"/>
      <c r="C14" s="92"/>
      <c r="D14" s="9">
        <v>20</v>
      </c>
      <c r="E14" s="9">
        <v>26</v>
      </c>
      <c r="F14" s="9">
        <v>153</v>
      </c>
      <c r="G14" s="9">
        <v>159</v>
      </c>
      <c r="H14" s="9">
        <v>81</v>
      </c>
      <c r="I14" s="9">
        <v>24</v>
      </c>
      <c r="J14" s="9">
        <v>161</v>
      </c>
      <c r="K14" s="9">
        <v>9</v>
      </c>
      <c r="L14" s="9"/>
      <c r="M14" s="10">
        <f t="shared" si="0"/>
        <v>633</v>
      </c>
      <c r="N14" s="67"/>
      <c r="O14" s="70"/>
      <c r="P14" s="75"/>
      <c r="Q14" s="91"/>
      <c r="R14" s="10">
        <f t="shared" si="1"/>
        <v>2112</v>
      </c>
    </row>
    <row r="15" spans="1:18" ht="19.5" customHeight="1">
      <c r="A15" s="74" t="s">
        <v>102</v>
      </c>
      <c r="B15" s="90">
        <v>24</v>
      </c>
      <c r="C15" s="80">
        <v>5</v>
      </c>
      <c r="D15" s="6">
        <v>50</v>
      </c>
      <c r="E15" s="6">
        <v>0</v>
      </c>
      <c r="F15" s="6">
        <v>150</v>
      </c>
      <c r="G15" s="6">
        <v>741</v>
      </c>
      <c r="H15" s="6">
        <v>150</v>
      </c>
      <c r="I15" s="6">
        <v>0</v>
      </c>
      <c r="J15" s="6">
        <v>0</v>
      </c>
      <c r="K15" s="6">
        <v>0</v>
      </c>
      <c r="L15" s="6"/>
      <c r="M15" s="7">
        <f t="shared" si="0"/>
        <v>1091</v>
      </c>
      <c r="P15" s="74" t="s">
        <v>102</v>
      </c>
      <c r="Q15" s="90">
        <f>B15+B36</f>
        <v>343</v>
      </c>
      <c r="R15" s="7">
        <f t="shared" si="1"/>
        <v>4565</v>
      </c>
    </row>
    <row r="16" spans="1:18" ht="19.5" customHeight="1">
      <c r="A16" s="75"/>
      <c r="B16" s="91"/>
      <c r="C16" s="92"/>
      <c r="D16" s="9">
        <v>8</v>
      </c>
      <c r="E16" s="9">
        <v>0</v>
      </c>
      <c r="F16" s="9">
        <v>2</v>
      </c>
      <c r="G16" s="9">
        <v>193</v>
      </c>
      <c r="H16" s="9">
        <v>30</v>
      </c>
      <c r="I16" s="9">
        <v>0</v>
      </c>
      <c r="J16" s="9">
        <v>0</v>
      </c>
      <c r="K16" s="9">
        <v>0</v>
      </c>
      <c r="L16" s="9"/>
      <c r="M16" s="10">
        <f t="shared" si="0"/>
        <v>233</v>
      </c>
      <c r="P16" s="75"/>
      <c r="Q16" s="91"/>
      <c r="R16" s="10">
        <f t="shared" si="1"/>
        <v>1470</v>
      </c>
    </row>
    <row r="17" spans="1:18" ht="19.5" customHeight="1">
      <c r="A17" s="74" t="s">
        <v>120</v>
      </c>
      <c r="B17" s="90">
        <v>58</v>
      </c>
      <c r="C17" s="80">
        <v>9</v>
      </c>
      <c r="D17" s="6">
        <v>950</v>
      </c>
      <c r="E17" s="6">
        <v>0</v>
      </c>
      <c r="F17" s="6">
        <v>300</v>
      </c>
      <c r="G17" s="6">
        <v>9235</v>
      </c>
      <c r="H17" s="6">
        <v>3300</v>
      </c>
      <c r="I17" s="6">
        <v>1095</v>
      </c>
      <c r="J17" s="6">
        <v>250</v>
      </c>
      <c r="K17" s="6">
        <v>70</v>
      </c>
      <c r="L17" s="6"/>
      <c r="M17" s="7">
        <f t="shared" si="0"/>
        <v>15200</v>
      </c>
      <c r="P17" s="74" t="s">
        <v>120</v>
      </c>
      <c r="Q17" s="90">
        <f>B17+B38</f>
        <v>173</v>
      </c>
      <c r="R17" s="7">
        <f t="shared" si="1"/>
        <v>20037</v>
      </c>
    </row>
    <row r="18" spans="1:18" ht="19.5" customHeight="1">
      <c r="A18" s="75"/>
      <c r="B18" s="91"/>
      <c r="C18" s="92"/>
      <c r="D18" s="9">
        <v>305</v>
      </c>
      <c r="E18" s="9">
        <v>0</v>
      </c>
      <c r="F18" s="9">
        <v>103</v>
      </c>
      <c r="G18" s="9">
        <v>1652</v>
      </c>
      <c r="H18" s="9">
        <v>817</v>
      </c>
      <c r="I18" s="9">
        <v>461</v>
      </c>
      <c r="J18" s="9">
        <v>14</v>
      </c>
      <c r="K18" s="9">
        <v>0</v>
      </c>
      <c r="L18" s="9"/>
      <c r="M18" s="10">
        <f t="shared" si="0"/>
        <v>3352</v>
      </c>
      <c r="P18" s="75"/>
      <c r="Q18" s="91"/>
      <c r="R18" s="10">
        <f t="shared" si="1"/>
        <v>5336</v>
      </c>
    </row>
    <row r="19" spans="1:18" ht="19.5" customHeight="1">
      <c r="A19" s="74" t="s">
        <v>121</v>
      </c>
      <c r="B19" s="76">
        <f>SUM(B5:B18)</f>
        <v>246</v>
      </c>
      <c r="C19" s="76">
        <f>SUM(C5:C18)</f>
        <v>29</v>
      </c>
      <c r="D19" s="7">
        <f aca="true" t="shared" si="2" ref="D19:K20">D5+D7+D9+D11+D13+D15+D17</f>
        <v>1550</v>
      </c>
      <c r="E19" s="7">
        <f t="shared" si="2"/>
        <v>800</v>
      </c>
      <c r="F19" s="7">
        <f t="shared" si="2"/>
        <v>850</v>
      </c>
      <c r="G19" s="7">
        <f t="shared" si="2"/>
        <v>21953</v>
      </c>
      <c r="H19" s="7">
        <f t="shared" si="2"/>
        <v>5750</v>
      </c>
      <c r="I19" s="7">
        <f t="shared" si="2"/>
        <v>4327</v>
      </c>
      <c r="J19" s="7">
        <f t="shared" si="2"/>
        <v>1150</v>
      </c>
      <c r="K19" s="7">
        <f t="shared" si="2"/>
        <v>275</v>
      </c>
      <c r="L19" s="7"/>
      <c r="M19" s="7">
        <f t="shared" si="0"/>
        <v>36655</v>
      </c>
      <c r="P19" s="74" t="s">
        <v>121</v>
      </c>
      <c r="Q19" s="76">
        <f>B19+B40</f>
        <v>1433</v>
      </c>
      <c r="R19" s="7">
        <f t="shared" si="1"/>
        <v>61700</v>
      </c>
    </row>
    <row r="20" spans="1:18" ht="19.5" customHeight="1">
      <c r="A20" s="75"/>
      <c r="B20" s="77"/>
      <c r="C20" s="77"/>
      <c r="D20" s="8">
        <f t="shared" si="2"/>
        <v>423</v>
      </c>
      <c r="E20" s="8">
        <f t="shared" si="2"/>
        <v>78</v>
      </c>
      <c r="F20" s="8">
        <f t="shared" si="2"/>
        <v>258</v>
      </c>
      <c r="G20" s="8">
        <f t="shared" si="2"/>
        <v>4383</v>
      </c>
      <c r="H20" s="8">
        <f t="shared" si="2"/>
        <v>1129</v>
      </c>
      <c r="I20" s="8">
        <f t="shared" si="2"/>
        <v>1065</v>
      </c>
      <c r="J20" s="8">
        <f t="shared" si="2"/>
        <v>236</v>
      </c>
      <c r="K20" s="8">
        <f t="shared" si="2"/>
        <v>99</v>
      </c>
      <c r="L20" s="8"/>
      <c r="M20" s="8">
        <f t="shared" si="0"/>
        <v>7671</v>
      </c>
      <c r="P20" s="75"/>
      <c r="Q20" s="77"/>
      <c r="R20" s="8">
        <f t="shared" si="1"/>
        <v>15946</v>
      </c>
    </row>
    <row r="21" spans="1:17" ht="19.5" customHeight="1">
      <c r="A21" s="13"/>
      <c r="B21" s="14"/>
      <c r="C21" s="4"/>
      <c r="D21" s="15"/>
      <c r="E21" s="15"/>
      <c r="F21" s="32"/>
      <c r="G21" s="15"/>
      <c r="H21" s="15"/>
      <c r="I21" s="15"/>
      <c r="J21" s="32"/>
      <c r="K21" s="32"/>
      <c r="L21" s="15"/>
      <c r="M21" s="15"/>
      <c r="N21" s="2"/>
      <c r="O21" s="2"/>
      <c r="P21" s="2"/>
      <c r="Q21" s="2"/>
    </row>
    <row r="22" spans="1:17" ht="19.5" customHeight="1">
      <c r="A22" s="13"/>
      <c r="B22" s="14"/>
      <c r="C22" s="4"/>
      <c r="D22" s="15"/>
      <c r="E22" s="15"/>
      <c r="F22" s="32"/>
      <c r="G22" s="15"/>
      <c r="H22" s="15"/>
      <c r="I22" s="15"/>
      <c r="J22" s="32"/>
      <c r="K22" s="32"/>
      <c r="L22" s="15"/>
      <c r="M22" s="15"/>
      <c r="N22" s="2"/>
      <c r="O22" s="2"/>
      <c r="P22" s="2"/>
      <c r="Q22" s="2"/>
    </row>
    <row r="23" spans="1:17" ht="19.5" customHeight="1">
      <c r="A23" s="11" t="s">
        <v>122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9.5" customHeight="1">
      <c r="A24" s="83" t="s">
        <v>179</v>
      </c>
      <c r="B24" s="85" t="s">
        <v>106</v>
      </c>
      <c r="C24" s="3" t="s">
        <v>107</v>
      </c>
      <c r="D24" s="87" t="s">
        <v>108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</row>
    <row r="25" spans="1:18" ht="19.5" customHeight="1">
      <c r="A25" s="84"/>
      <c r="B25" s="86"/>
      <c r="C25" s="5" t="s">
        <v>109</v>
      </c>
      <c r="D25" s="5" t="s">
        <v>11</v>
      </c>
      <c r="E25" s="5" t="s">
        <v>13</v>
      </c>
      <c r="F25" s="5" t="s">
        <v>12</v>
      </c>
      <c r="G25" s="5" t="s">
        <v>164</v>
      </c>
      <c r="H25" s="5" t="s">
        <v>14</v>
      </c>
      <c r="I25" s="5" t="s">
        <v>15</v>
      </c>
      <c r="J25" s="5" t="s">
        <v>16</v>
      </c>
      <c r="K25" s="5" t="s">
        <v>130</v>
      </c>
      <c r="L25" s="54" t="s">
        <v>95</v>
      </c>
      <c r="M25" s="54" t="s">
        <v>65</v>
      </c>
      <c r="N25" s="54" t="s">
        <v>86</v>
      </c>
      <c r="O25" s="5" t="s">
        <v>133</v>
      </c>
      <c r="P25" s="5" t="s">
        <v>151</v>
      </c>
      <c r="Q25" s="5" t="s">
        <v>185</v>
      </c>
      <c r="R25" s="12" t="s">
        <v>115</v>
      </c>
    </row>
    <row r="26" spans="1:18" ht="19.5" customHeight="1">
      <c r="A26" s="74" t="s">
        <v>159</v>
      </c>
      <c r="B26" s="76">
        <v>149</v>
      </c>
      <c r="C26" s="80">
        <v>5</v>
      </c>
      <c r="D26" s="6">
        <v>42</v>
      </c>
      <c r="E26" s="6">
        <v>0</v>
      </c>
      <c r="F26" s="6">
        <v>68</v>
      </c>
      <c r="G26" s="6">
        <v>20</v>
      </c>
      <c r="H26" s="78">
        <v>905</v>
      </c>
      <c r="I26" s="79"/>
      <c r="J26" s="6">
        <v>9</v>
      </c>
      <c r="K26" s="6">
        <v>0</v>
      </c>
      <c r="L26" s="6">
        <v>1179</v>
      </c>
      <c r="M26" s="6">
        <v>482</v>
      </c>
      <c r="N26" s="6">
        <v>100</v>
      </c>
      <c r="O26" s="6">
        <v>95</v>
      </c>
      <c r="P26" s="6">
        <v>0</v>
      </c>
      <c r="Q26" s="6">
        <v>0</v>
      </c>
      <c r="R26" s="7">
        <f aca="true" t="shared" si="3" ref="R26:R40">SUM(D26:Q26)</f>
        <v>2900</v>
      </c>
    </row>
    <row r="27" spans="1:18" ht="19.5" customHeight="1">
      <c r="A27" s="75"/>
      <c r="B27" s="77"/>
      <c r="C27" s="81"/>
      <c r="D27" s="9">
        <v>19</v>
      </c>
      <c r="E27" s="9">
        <v>0</v>
      </c>
      <c r="F27" s="9">
        <v>32</v>
      </c>
      <c r="G27" s="9">
        <v>0</v>
      </c>
      <c r="H27" s="9">
        <v>110</v>
      </c>
      <c r="I27" s="46">
        <v>132</v>
      </c>
      <c r="J27" s="9">
        <v>0</v>
      </c>
      <c r="K27" s="9">
        <v>0</v>
      </c>
      <c r="L27" s="9">
        <v>305</v>
      </c>
      <c r="M27" s="9">
        <v>104</v>
      </c>
      <c r="N27" s="9">
        <v>57</v>
      </c>
      <c r="O27" s="9">
        <v>7</v>
      </c>
      <c r="P27" s="9">
        <v>0</v>
      </c>
      <c r="Q27" s="9">
        <v>0</v>
      </c>
      <c r="R27" s="8">
        <f t="shared" si="3"/>
        <v>766</v>
      </c>
    </row>
    <row r="28" spans="1:18" ht="19.5" customHeight="1">
      <c r="A28" s="74" t="s">
        <v>178</v>
      </c>
      <c r="B28" s="76">
        <v>154</v>
      </c>
      <c r="C28" s="80">
        <v>2</v>
      </c>
      <c r="D28" s="6">
        <v>43</v>
      </c>
      <c r="E28" s="6">
        <v>181</v>
      </c>
      <c r="F28" s="6">
        <v>745</v>
      </c>
      <c r="G28" s="6">
        <v>30</v>
      </c>
      <c r="H28" s="78">
        <v>192</v>
      </c>
      <c r="I28" s="79"/>
      <c r="J28" s="6">
        <v>200</v>
      </c>
      <c r="K28" s="6">
        <v>165</v>
      </c>
      <c r="L28" s="6">
        <v>1862</v>
      </c>
      <c r="M28" s="6">
        <v>1380</v>
      </c>
      <c r="N28" s="6">
        <v>50</v>
      </c>
      <c r="O28" s="6">
        <v>916</v>
      </c>
      <c r="P28" s="6">
        <v>0</v>
      </c>
      <c r="Q28" s="6">
        <v>0</v>
      </c>
      <c r="R28" s="7">
        <f t="shared" si="3"/>
        <v>5764</v>
      </c>
    </row>
    <row r="29" spans="1:18" ht="19.5" customHeight="1">
      <c r="A29" s="75"/>
      <c r="B29" s="77"/>
      <c r="C29" s="81"/>
      <c r="D29" s="9">
        <v>29</v>
      </c>
      <c r="E29" s="9">
        <v>4</v>
      </c>
      <c r="F29" s="9">
        <v>283</v>
      </c>
      <c r="G29" s="9">
        <v>0</v>
      </c>
      <c r="H29" s="9">
        <v>15</v>
      </c>
      <c r="I29" s="46">
        <v>15</v>
      </c>
      <c r="J29" s="9">
        <v>56</v>
      </c>
      <c r="K29" s="9">
        <v>32</v>
      </c>
      <c r="L29" s="9">
        <v>784</v>
      </c>
      <c r="M29" s="9">
        <v>257</v>
      </c>
      <c r="N29" s="9">
        <v>8</v>
      </c>
      <c r="O29" s="9">
        <v>146</v>
      </c>
      <c r="P29" s="9">
        <v>0</v>
      </c>
      <c r="Q29" s="9">
        <v>0</v>
      </c>
      <c r="R29" s="8">
        <f t="shared" si="3"/>
        <v>1629</v>
      </c>
    </row>
    <row r="30" spans="1:18" s="51" customFormat="1" ht="19.5" customHeight="1">
      <c r="A30" s="74" t="s">
        <v>118</v>
      </c>
      <c r="B30" s="76">
        <v>84</v>
      </c>
      <c r="C30" s="80">
        <v>3</v>
      </c>
      <c r="D30" s="6">
        <v>32</v>
      </c>
      <c r="E30" s="6">
        <v>0</v>
      </c>
      <c r="F30" s="6">
        <v>39</v>
      </c>
      <c r="G30" s="6">
        <v>0</v>
      </c>
      <c r="H30" s="78">
        <v>240</v>
      </c>
      <c r="I30" s="79"/>
      <c r="J30" s="6">
        <v>90</v>
      </c>
      <c r="K30" s="6">
        <v>0</v>
      </c>
      <c r="L30" s="6">
        <v>261</v>
      </c>
      <c r="M30" s="6">
        <v>83</v>
      </c>
      <c r="N30" s="6">
        <v>0</v>
      </c>
      <c r="O30" s="6">
        <v>47</v>
      </c>
      <c r="P30" s="6">
        <v>0</v>
      </c>
      <c r="Q30" s="6">
        <v>0</v>
      </c>
      <c r="R30" s="7">
        <f t="shared" si="3"/>
        <v>792</v>
      </c>
    </row>
    <row r="31" spans="1:18" s="51" customFormat="1" ht="19.5" customHeight="1">
      <c r="A31" s="75"/>
      <c r="B31" s="77"/>
      <c r="C31" s="81"/>
      <c r="D31" s="9">
        <v>6</v>
      </c>
      <c r="E31" s="9">
        <v>0</v>
      </c>
      <c r="F31" s="9">
        <v>7</v>
      </c>
      <c r="G31" s="9">
        <v>0</v>
      </c>
      <c r="H31" s="9">
        <v>28</v>
      </c>
      <c r="I31" s="46">
        <v>38</v>
      </c>
      <c r="J31" s="9">
        <v>18</v>
      </c>
      <c r="K31" s="9">
        <v>0</v>
      </c>
      <c r="L31" s="9">
        <v>75</v>
      </c>
      <c r="M31" s="9">
        <v>32</v>
      </c>
      <c r="N31" s="9">
        <v>0</v>
      </c>
      <c r="O31" s="9">
        <v>2</v>
      </c>
      <c r="P31" s="9">
        <v>0</v>
      </c>
      <c r="Q31" s="9">
        <v>0</v>
      </c>
      <c r="R31" s="8">
        <f t="shared" si="3"/>
        <v>206</v>
      </c>
    </row>
    <row r="32" spans="1:18" ht="19.5" customHeight="1">
      <c r="A32" s="74" t="s">
        <v>119</v>
      </c>
      <c r="B32" s="76">
        <v>127</v>
      </c>
      <c r="C32" s="80">
        <v>4</v>
      </c>
      <c r="D32" s="6">
        <v>2</v>
      </c>
      <c r="E32" s="6">
        <v>30</v>
      </c>
      <c r="F32" s="6">
        <v>346</v>
      </c>
      <c r="G32" s="6">
        <v>0</v>
      </c>
      <c r="H32" s="78">
        <v>992</v>
      </c>
      <c r="I32" s="79"/>
      <c r="J32" s="6">
        <v>78</v>
      </c>
      <c r="K32" s="6">
        <v>0</v>
      </c>
      <c r="L32" s="6">
        <v>1180</v>
      </c>
      <c r="M32" s="6">
        <v>761</v>
      </c>
      <c r="N32" s="6">
        <v>0</v>
      </c>
      <c r="O32" s="6">
        <v>376</v>
      </c>
      <c r="P32" s="6">
        <v>0</v>
      </c>
      <c r="Q32" s="6">
        <v>0</v>
      </c>
      <c r="R32" s="7">
        <f t="shared" si="3"/>
        <v>3765</v>
      </c>
    </row>
    <row r="33" spans="1:18" ht="19.5" customHeight="1">
      <c r="A33" s="75"/>
      <c r="B33" s="77"/>
      <c r="C33" s="81"/>
      <c r="D33" s="9">
        <v>0</v>
      </c>
      <c r="E33" s="9">
        <v>0</v>
      </c>
      <c r="F33" s="9">
        <v>83</v>
      </c>
      <c r="G33" s="9">
        <v>0</v>
      </c>
      <c r="H33" s="9">
        <v>131</v>
      </c>
      <c r="I33" s="46">
        <v>134</v>
      </c>
      <c r="J33" s="9">
        <v>21</v>
      </c>
      <c r="K33" s="9">
        <v>0</v>
      </c>
      <c r="L33" s="9">
        <v>334</v>
      </c>
      <c r="M33" s="9">
        <v>261</v>
      </c>
      <c r="N33" s="9">
        <v>0</v>
      </c>
      <c r="O33" s="9">
        <v>10</v>
      </c>
      <c r="P33" s="9">
        <v>0</v>
      </c>
      <c r="Q33" s="9">
        <v>0</v>
      </c>
      <c r="R33" s="8">
        <f t="shared" si="3"/>
        <v>974</v>
      </c>
    </row>
    <row r="34" spans="1:18" s="51" customFormat="1" ht="19.5" customHeight="1">
      <c r="A34" s="74" t="s">
        <v>101</v>
      </c>
      <c r="B34" s="76">
        <v>239</v>
      </c>
      <c r="C34" s="80">
        <v>6</v>
      </c>
      <c r="D34" s="6">
        <v>190</v>
      </c>
      <c r="E34" s="6">
        <v>30</v>
      </c>
      <c r="F34" s="6">
        <v>460</v>
      </c>
      <c r="G34" s="6">
        <v>0</v>
      </c>
      <c r="H34" s="78">
        <v>191</v>
      </c>
      <c r="I34" s="79"/>
      <c r="J34" s="6">
        <v>322</v>
      </c>
      <c r="K34" s="6">
        <v>0</v>
      </c>
      <c r="L34" s="6">
        <v>1860</v>
      </c>
      <c r="M34" s="6">
        <v>392</v>
      </c>
      <c r="N34" s="6">
        <v>0</v>
      </c>
      <c r="O34" s="6">
        <v>40</v>
      </c>
      <c r="P34" s="6">
        <v>28</v>
      </c>
      <c r="Q34" s="6">
        <v>0</v>
      </c>
      <c r="R34" s="7">
        <f t="shared" si="3"/>
        <v>3513</v>
      </c>
    </row>
    <row r="35" spans="1:18" s="51" customFormat="1" ht="19.5" customHeight="1">
      <c r="A35" s="75"/>
      <c r="B35" s="77"/>
      <c r="C35" s="81"/>
      <c r="D35" s="9">
        <v>106</v>
      </c>
      <c r="E35" s="9">
        <v>0</v>
      </c>
      <c r="F35" s="9">
        <v>167</v>
      </c>
      <c r="G35" s="9">
        <v>0</v>
      </c>
      <c r="H35" s="9">
        <v>52</v>
      </c>
      <c r="I35" s="46">
        <v>29</v>
      </c>
      <c r="J35" s="9">
        <v>172</v>
      </c>
      <c r="K35" s="9">
        <v>0</v>
      </c>
      <c r="L35" s="9">
        <v>822</v>
      </c>
      <c r="M35" s="9">
        <v>103</v>
      </c>
      <c r="N35" s="9">
        <v>0</v>
      </c>
      <c r="O35" s="9">
        <v>1</v>
      </c>
      <c r="P35" s="9">
        <v>27</v>
      </c>
      <c r="Q35" s="9">
        <v>0</v>
      </c>
      <c r="R35" s="8">
        <f t="shared" si="3"/>
        <v>1479</v>
      </c>
    </row>
    <row r="36" spans="1:18" ht="19.5" customHeight="1">
      <c r="A36" s="74" t="s">
        <v>102</v>
      </c>
      <c r="B36" s="76">
        <v>319</v>
      </c>
      <c r="C36" s="80">
        <v>5</v>
      </c>
      <c r="D36" s="6">
        <v>211</v>
      </c>
      <c r="E36" s="6">
        <v>65</v>
      </c>
      <c r="F36" s="6">
        <v>50</v>
      </c>
      <c r="G36" s="6">
        <v>0</v>
      </c>
      <c r="H36" s="78">
        <v>399</v>
      </c>
      <c r="I36" s="82"/>
      <c r="J36" s="6">
        <v>708</v>
      </c>
      <c r="K36" s="6">
        <v>0</v>
      </c>
      <c r="L36" s="6">
        <v>1176</v>
      </c>
      <c r="M36" s="6">
        <v>744</v>
      </c>
      <c r="N36" s="6">
        <v>0</v>
      </c>
      <c r="O36" s="6">
        <v>55</v>
      </c>
      <c r="P36" s="6">
        <v>46</v>
      </c>
      <c r="Q36" s="6">
        <v>20</v>
      </c>
      <c r="R36" s="7">
        <f t="shared" si="3"/>
        <v>3474</v>
      </c>
    </row>
    <row r="37" spans="1:18" ht="19.5" customHeight="1">
      <c r="A37" s="75"/>
      <c r="B37" s="77"/>
      <c r="C37" s="81"/>
      <c r="D37" s="9">
        <v>109</v>
      </c>
      <c r="E37" s="9">
        <v>0</v>
      </c>
      <c r="F37" s="9">
        <v>12</v>
      </c>
      <c r="G37" s="9">
        <v>0</v>
      </c>
      <c r="H37" s="9">
        <v>105</v>
      </c>
      <c r="I37" s="46">
        <v>152</v>
      </c>
      <c r="J37" s="9">
        <v>299</v>
      </c>
      <c r="K37" s="9">
        <v>0</v>
      </c>
      <c r="L37" s="9">
        <v>300</v>
      </c>
      <c r="M37" s="9">
        <v>215</v>
      </c>
      <c r="N37" s="9">
        <v>0</v>
      </c>
      <c r="O37" s="9">
        <v>1</v>
      </c>
      <c r="P37" s="9">
        <v>41</v>
      </c>
      <c r="Q37" s="9">
        <v>3</v>
      </c>
      <c r="R37" s="8">
        <f t="shared" si="3"/>
        <v>1237</v>
      </c>
    </row>
    <row r="38" spans="1:18" ht="19.5" customHeight="1">
      <c r="A38" s="74" t="s">
        <v>120</v>
      </c>
      <c r="B38" s="76">
        <v>115</v>
      </c>
      <c r="C38" s="80">
        <v>6</v>
      </c>
      <c r="D38" s="6">
        <v>22</v>
      </c>
      <c r="E38" s="6">
        <v>34</v>
      </c>
      <c r="F38" s="6">
        <v>168</v>
      </c>
      <c r="G38" s="6">
        <v>0</v>
      </c>
      <c r="H38" s="78">
        <v>805</v>
      </c>
      <c r="I38" s="79"/>
      <c r="J38" s="6">
        <v>739</v>
      </c>
      <c r="K38" s="6">
        <v>0</v>
      </c>
      <c r="L38" s="6">
        <v>1760</v>
      </c>
      <c r="M38" s="6">
        <v>802</v>
      </c>
      <c r="N38" s="6">
        <v>100</v>
      </c>
      <c r="O38" s="6">
        <v>407</v>
      </c>
      <c r="P38" s="6">
        <v>0</v>
      </c>
      <c r="Q38" s="6">
        <v>0</v>
      </c>
      <c r="R38" s="7">
        <f t="shared" si="3"/>
        <v>4837</v>
      </c>
    </row>
    <row r="39" spans="1:18" ht="19.5" customHeight="1">
      <c r="A39" s="75"/>
      <c r="B39" s="77"/>
      <c r="C39" s="81"/>
      <c r="D39" s="9">
        <v>22</v>
      </c>
      <c r="E39" s="9">
        <v>3</v>
      </c>
      <c r="F39" s="9">
        <v>89</v>
      </c>
      <c r="G39" s="9">
        <v>0</v>
      </c>
      <c r="H39" s="9">
        <v>127</v>
      </c>
      <c r="I39" s="46">
        <v>154</v>
      </c>
      <c r="J39" s="9">
        <v>106</v>
      </c>
      <c r="K39" s="9">
        <v>0</v>
      </c>
      <c r="L39" s="9">
        <v>1304</v>
      </c>
      <c r="M39" s="9">
        <v>115</v>
      </c>
      <c r="N39" s="9">
        <v>64</v>
      </c>
      <c r="O39" s="9">
        <v>0</v>
      </c>
      <c r="P39" s="9">
        <v>0</v>
      </c>
      <c r="Q39" s="9">
        <v>0</v>
      </c>
      <c r="R39" s="8">
        <f t="shared" si="3"/>
        <v>1984</v>
      </c>
    </row>
    <row r="40" spans="1:18" ht="19.5" customHeight="1">
      <c r="A40" s="74" t="s">
        <v>136</v>
      </c>
      <c r="B40" s="76">
        <f>SUM(B26:B39)</f>
        <v>1187</v>
      </c>
      <c r="C40" s="76">
        <f>SUM(C26:C39)</f>
        <v>31</v>
      </c>
      <c r="D40" s="7">
        <f aca="true" t="shared" si="4" ref="D40:H41">D26+D28+D30+D32+D34+D36+D38</f>
        <v>542</v>
      </c>
      <c r="E40" s="7">
        <f t="shared" si="4"/>
        <v>340</v>
      </c>
      <c r="F40" s="7">
        <f t="shared" si="4"/>
        <v>1876</v>
      </c>
      <c r="G40" s="7">
        <f t="shared" si="4"/>
        <v>50</v>
      </c>
      <c r="H40" s="78">
        <f t="shared" si="4"/>
        <v>3724</v>
      </c>
      <c r="I40" s="79"/>
      <c r="J40" s="7">
        <f aca="true" t="shared" si="5" ref="J40:Q41">J26+J28+J30+J32+J34+J36+J38</f>
        <v>2146</v>
      </c>
      <c r="K40" s="7">
        <f t="shared" si="5"/>
        <v>165</v>
      </c>
      <c r="L40" s="7">
        <f t="shared" si="5"/>
        <v>9278</v>
      </c>
      <c r="M40" s="7">
        <f t="shared" si="5"/>
        <v>4644</v>
      </c>
      <c r="N40" s="7">
        <f t="shared" si="5"/>
        <v>250</v>
      </c>
      <c r="O40" s="7">
        <f t="shared" si="5"/>
        <v>1936</v>
      </c>
      <c r="P40" s="7">
        <f t="shared" si="5"/>
        <v>74</v>
      </c>
      <c r="Q40" s="7">
        <f t="shared" si="5"/>
        <v>20</v>
      </c>
      <c r="R40" s="7">
        <f t="shared" si="3"/>
        <v>25045</v>
      </c>
    </row>
    <row r="41" spans="1:18" ht="19.5" customHeight="1">
      <c r="A41" s="75"/>
      <c r="B41" s="77"/>
      <c r="C41" s="77"/>
      <c r="D41" s="8">
        <f t="shared" si="4"/>
        <v>291</v>
      </c>
      <c r="E41" s="8">
        <f t="shared" si="4"/>
        <v>7</v>
      </c>
      <c r="F41" s="8">
        <f t="shared" si="4"/>
        <v>673</v>
      </c>
      <c r="G41" s="8">
        <f t="shared" si="4"/>
        <v>0</v>
      </c>
      <c r="H41" s="8">
        <f t="shared" si="4"/>
        <v>568</v>
      </c>
      <c r="I41" s="8">
        <f>I27+I29+I31+I33+I35+I37+I39</f>
        <v>654</v>
      </c>
      <c r="J41" s="8">
        <f t="shared" si="5"/>
        <v>672</v>
      </c>
      <c r="K41" s="8">
        <f t="shared" si="5"/>
        <v>32</v>
      </c>
      <c r="L41" s="8">
        <f t="shared" si="5"/>
        <v>3924</v>
      </c>
      <c r="M41" s="8">
        <f t="shared" si="5"/>
        <v>1087</v>
      </c>
      <c r="N41" s="8">
        <f t="shared" si="5"/>
        <v>129</v>
      </c>
      <c r="O41" s="8">
        <f t="shared" si="5"/>
        <v>167</v>
      </c>
      <c r="P41" s="8">
        <f t="shared" si="5"/>
        <v>68</v>
      </c>
      <c r="Q41" s="8">
        <f>Q27+Q29+Q31+Q33+Q35+Q37+Q39</f>
        <v>3</v>
      </c>
      <c r="R41" s="8">
        <f>SUM(D41:Q41)</f>
        <v>8275</v>
      </c>
    </row>
    <row r="42" ht="18.75" customHeight="1"/>
    <row r="43" ht="18.75" customHeight="1">
      <c r="A43" t="s">
        <v>213</v>
      </c>
    </row>
    <row r="44" ht="18.75" customHeight="1"/>
  </sheetData>
  <sheetProtection/>
  <mergeCells count="81">
    <mergeCell ref="A3:A4"/>
    <mergeCell ref="B3:B4"/>
    <mergeCell ref="C3:C4"/>
    <mergeCell ref="D3:M3"/>
    <mergeCell ref="P3:P4"/>
    <mergeCell ref="Q3:Q4"/>
    <mergeCell ref="A5:A6"/>
    <mergeCell ref="B5:B6"/>
    <mergeCell ref="C5:C6"/>
    <mergeCell ref="P5:P6"/>
    <mergeCell ref="Q5:Q6"/>
    <mergeCell ref="A7:A8"/>
    <mergeCell ref="B7:B8"/>
    <mergeCell ref="C7:C8"/>
    <mergeCell ref="P7:P8"/>
    <mergeCell ref="Q7:Q8"/>
    <mergeCell ref="A9:A10"/>
    <mergeCell ref="B9:B10"/>
    <mergeCell ref="C9:C10"/>
    <mergeCell ref="P9:P10"/>
    <mergeCell ref="Q9:Q10"/>
    <mergeCell ref="A11:A12"/>
    <mergeCell ref="B11:B12"/>
    <mergeCell ref="C11:C12"/>
    <mergeCell ref="P11:P12"/>
    <mergeCell ref="Q11:Q12"/>
    <mergeCell ref="A13:A14"/>
    <mergeCell ref="B13:B14"/>
    <mergeCell ref="C13:C14"/>
    <mergeCell ref="P13:P14"/>
    <mergeCell ref="Q13:Q14"/>
    <mergeCell ref="A15:A16"/>
    <mergeCell ref="B15:B16"/>
    <mergeCell ref="C15:C16"/>
    <mergeCell ref="P15:P16"/>
    <mergeCell ref="Q15:Q16"/>
    <mergeCell ref="A17:A18"/>
    <mergeCell ref="B17:B18"/>
    <mergeCell ref="C17:C18"/>
    <mergeCell ref="P17:P18"/>
    <mergeCell ref="Q17:Q18"/>
    <mergeCell ref="A19:A20"/>
    <mergeCell ref="B19:B20"/>
    <mergeCell ref="C19:C20"/>
    <mergeCell ref="P19:P20"/>
    <mergeCell ref="Q19:Q20"/>
    <mergeCell ref="A24:A25"/>
    <mergeCell ref="B24:B25"/>
    <mergeCell ref="D24:R24"/>
    <mergeCell ref="A26:A27"/>
    <mergeCell ref="B26:B27"/>
    <mergeCell ref="C26:C27"/>
    <mergeCell ref="H26:I26"/>
    <mergeCell ref="A28:A29"/>
    <mergeCell ref="B28:B29"/>
    <mergeCell ref="C28:C29"/>
    <mergeCell ref="H28:I28"/>
    <mergeCell ref="A30:A31"/>
    <mergeCell ref="B30:B31"/>
    <mergeCell ref="C30:C31"/>
    <mergeCell ref="H30:I30"/>
    <mergeCell ref="C38:C39"/>
    <mergeCell ref="H38:I38"/>
    <mergeCell ref="A32:A33"/>
    <mergeCell ref="B32:B33"/>
    <mergeCell ref="C32:C33"/>
    <mergeCell ref="H32:I32"/>
    <mergeCell ref="A34:A35"/>
    <mergeCell ref="B34:B35"/>
    <mergeCell ref="C34:C35"/>
    <mergeCell ref="H34:I34"/>
    <mergeCell ref="A40:A41"/>
    <mergeCell ref="B40:B41"/>
    <mergeCell ref="C40:C41"/>
    <mergeCell ref="H40:I40"/>
    <mergeCell ref="A36:A37"/>
    <mergeCell ref="B36:B37"/>
    <mergeCell ref="C36:C37"/>
    <mergeCell ref="H36:I36"/>
    <mergeCell ref="A38:A39"/>
    <mergeCell ref="B38:B39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R41"/>
  <sheetViews>
    <sheetView zoomScale="70" zoomScaleNormal="70" zoomScalePageLayoutView="0" workbookViewId="0" topLeftCell="A10">
      <selection activeCell="A1" sqref="A1"/>
    </sheetView>
  </sheetViews>
  <sheetFormatPr defaultColWidth="9.00390625" defaultRowHeight="13.5"/>
  <cols>
    <col min="9" max="9" width="9.00390625" style="51" customWidth="1"/>
  </cols>
  <sheetData>
    <row r="1" spans="1:17" ht="19.5" customHeight="1">
      <c r="A1" s="1" t="s">
        <v>207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168</v>
      </c>
      <c r="Q2" s="2"/>
    </row>
    <row r="3" spans="1:18" ht="19.5" customHeight="1">
      <c r="A3" s="83" t="s">
        <v>179</v>
      </c>
      <c r="B3" s="85" t="s">
        <v>106</v>
      </c>
      <c r="C3" s="95" t="s">
        <v>109</v>
      </c>
      <c r="D3" s="87" t="s">
        <v>108</v>
      </c>
      <c r="E3" s="88"/>
      <c r="F3" s="88"/>
      <c r="G3" s="88"/>
      <c r="H3" s="88"/>
      <c r="I3" s="88"/>
      <c r="J3" s="88"/>
      <c r="K3" s="88"/>
      <c r="L3" s="88"/>
      <c r="M3" s="89"/>
      <c r="N3" s="57"/>
      <c r="O3" s="68"/>
      <c r="P3" s="83" t="s">
        <v>100</v>
      </c>
      <c r="Q3" s="85" t="s">
        <v>106</v>
      </c>
      <c r="R3" s="61" t="s">
        <v>166</v>
      </c>
    </row>
    <row r="4" spans="1:18" ht="19.5" customHeight="1">
      <c r="A4" s="84"/>
      <c r="B4" s="86"/>
      <c r="C4" s="96"/>
      <c r="D4" s="5" t="s">
        <v>110</v>
      </c>
      <c r="E4" s="5" t="s">
        <v>190</v>
      </c>
      <c r="F4" s="5" t="s">
        <v>191</v>
      </c>
      <c r="G4" s="5" t="s">
        <v>39</v>
      </c>
      <c r="H4" s="5" t="s">
        <v>40</v>
      </c>
      <c r="I4" s="5" t="s">
        <v>192</v>
      </c>
      <c r="J4" s="16" t="s">
        <v>193</v>
      </c>
      <c r="K4" s="17" t="s">
        <v>194</v>
      </c>
      <c r="L4" s="17"/>
      <c r="M4" s="12" t="s">
        <v>115</v>
      </c>
      <c r="N4" s="66"/>
      <c r="O4" s="69"/>
      <c r="P4" s="84"/>
      <c r="Q4" s="86"/>
      <c r="R4" s="62" t="s">
        <v>167</v>
      </c>
    </row>
    <row r="5" spans="1:18" ht="19.5" customHeight="1">
      <c r="A5" s="74" t="s">
        <v>159</v>
      </c>
      <c r="B5" s="90">
        <v>59</v>
      </c>
      <c r="C5" s="80">
        <v>6</v>
      </c>
      <c r="D5" s="6">
        <v>50</v>
      </c>
      <c r="E5" s="6">
        <v>250</v>
      </c>
      <c r="F5" s="6">
        <v>0</v>
      </c>
      <c r="G5" s="6">
        <v>2142</v>
      </c>
      <c r="H5" s="6">
        <v>200</v>
      </c>
      <c r="I5" s="6">
        <v>955</v>
      </c>
      <c r="J5" s="6">
        <v>200</v>
      </c>
      <c r="K5" s="6">
        <v>30</v>
      </c>
      <c r="L5" s="6"/>
      <c r="M5" s="7">
        <f aca="true" t="shared" si="0" ref="M5:M20">SUM(D5:L5)</f>
        <v>3827</v>
      </c>
      <c r="N5" s="66"/>
      <c r="O5" s="69"/>
      <c r="P5" s="74" t="s">
        <v>159</v>
      </c>
      <c r="Q5" s="90">
        <f>B5+B26</f>
        <v>283</v>
      </c>
      <c r="R5" s="7">
        <f aca="true" t="shared" si="1" ref="R5:R20">M5+R26</f>
        <v>6342</v>
      </c>
    </row>
    <row r="6" spans="1:18" ht="19.5" customHeight="1">
      <c r="A6" s="75"/>
      <c r="B6" s="91"/>
      <c r="C6" s="92"/>
      <c r="D6" s="9">
        <v>1</v>
      </c>
      <c r="E6" s="9">
        <v>23</v>
      </c>
      <c r="F6" s="9">
        <v>0</v>
      </c>
      <c r="G6" s="9">
        <v>446</v>
      </c>
      <c r="H6" s="9">
        <v>121</v>
      </c>
      <c r="I6" s="9">
        <v>223</v>
      </c>
      <c r="J6" s="9">
        <v>30</v>
      </c>
      <c r="K6" s="9">
        <v>14</v>
      </c>
      <c r="L6" s="9"/>
      <c r="M6" s="10">
        <f t="shared" si="0"/>
        <v>858</v>
      </c>
      <c r="N6" s="66"/>
      <c r="O6" s="69"/>
      <c r="P6" s="75"/>
      <c r="Q6" s="91"/>
      <c r="R6" s="10">
        <f t="shared" si="1"/>
        <v>1324</v>
      </c>
    </row>
    <row r="7" spans="1:18" ht="19.5" customHeight="1">
      <c r="A7" s="74" t="s">
        <v>178</v>
      </c>
      <c r="B7" s="90">
        <v>38</v>
      </c>
      <c r="C7" s="80">
        <v>2</v>
      </c>
      <c r="D7" s="6">
        <v>300</v>
      </c>
      <c r="E7" s="6">
        <v>600</v>
      </c>
      <c r="F7" s="6">
        <v>690</v>
      </c>
      <c r="G7" s="6">
        <v>4652</v>
      </c>
      <c r="H7" s="6">
        <v>1600</v>
      </c>
      <c r="I7" s="6">
        <v>160</v>
      </c>
      <c r="J7" s="6">
        <v>650</v>
      </c>
      <c r="K7" s="6">
        <v>310</v>
      </c>
      <c r="L7" s="6"/>
      <c r="M7" s="7">
        <f t="shared" si="0"/>
        <v>8962</v>
      </c>
      <c r="N7" s="66"/>
      <c r="O7" s="69"/>
      <c r="P7" s="74" t="s">
        <v>178</v>
      </c>
      <c r="Q7" s="90">
        <f>B7+B28</f>
        <v>168</v>
      </c>
      <c r="R7" s="7">
        <f t="shared" si="1"/>
        <v>14028</v>
      </c>
    </row>
    <row r="8" spans="1:18" ht="19.5" customHeight="1">
      <c r="A8" s="75"/>
      <c r="B8" s="91"/>
      <c r="C8" s="92"/>
      <c r="D8" s="9">
        <v>69</v>
      </c>
      <c r="E8" s="9">
        <v>0</v>
      </c>
      <c r="F8" s="9">
        <v>219</v>
      </c>
      <c r="G8" s="9">
        <v>768</v>
      </c>
      <c r="H8" s="9">
        <v>140</v>
      </c>
      <c r="I8" s="9">
        <v>0</v>
      </c>
      <c r="J8" s="9">
        <v>14</v>
      </c>
      <c r="K8" s="9">
        <v>31</v>
      </c>
      <c r="L8" s="9"/>
      <c r="M8" s="10">
        <f t="shared" si="0"/>
        <v>1241</v>
      </c>
      <c r="N8" s="66"/>
      <c r="O8" s="69"/>
      <c r="P8" s="75"/>
      <c r="Q8" s="91"/>
      <c r="R8" s="10">
        <f t="shared" si="1"/>
        <v>2340</v>
      </c>
    </row>
    <row r="9" spans="1:18" ht="19.5" customHeight="1">
      <c r="A9" s="74" t="s">
        <v>118</v>
      </c>
      <c r="B9" s="90">
        <v>16</v>
      </c>
      <c r="C9" s="80">
        <v>1</v>
      </c>
      <c r="D9" s="6">
        <v>0</v>
      </c>
      <c r="E9" s="6">
        <v>0</v>
      </c>
      <c r="F9" s="6">
        <v>0</v>
      </c>
      <c r="G9" s="6">
        <v>369</v>
      </c>
      <c r="H9" s="6">
        <v>0</v>
      </c>
      <c r="I9" s="6">
        <v>0</v>
      </c>
      <c r="J9" s="6">
        <v>0</v>
      </c>
      <c r="K9" s="6">
        <v>125</v>
      </c>
      <c r="L9" s="6"/>
      <c r="M9" s="7">
        <f t="shared" si="0"/>
        <v>494</v>
      </c>
      <c r="N9" s="66"/>
      <c r="O9" s="69"/>
      <c r="P9" s="74" t="s">
        <v>118</v>
      </c>
      <c r="Q9" s="90">
        <f>B9+B30</f>
        <v>59</v>
      </c>
      <c r="R9" s="7">
        <f t="shared" si="1"/>
        <v>980</v>
      </c>
    </row>
    <row r="10" spans="1:18" ht="19.5" customHeight="1">
      <c r="A10" s="75"/>
      <c r="B10" s="91"/>
      <c r="C10" s="92"/>
      <c r="D10" s="9">
        <v>0</v>
      </c>
      <c r="E10" s="9">
        <v>0</v>
      </c>
      <c r="F10" s="9">
        <v>0</v>
      </c>
      <c r="G10" s="9">
        <v>141</v>
      </c>
      <c r="H10" s="9">
        <v>0</v>
      </c>
      <c r="I10" s="9">
        <v>0</v>
      </c>
      <c r="J10" s="9">
        <v>0</v>
      </c>
      <c r="K10" s="9">
        <v>77</v>
      </c>
      <c r="L10" s="9"/>
      <c r="M10" s="10">
        <f t="shared" si="0"/>
        <v>218</v>
      </c>
      <c r="N10" s="66"/>
      <c r="O10" s="69"/>
      <c r="P10" s="75"/>
      <c r="Q10" s="91"/>
      <c r="R10" s="10">
        <f t="shared" si="1"/>
        <v>299</v>
      </c>
    </row>
    <row r="11" spans="1:18" ht="19.5" customHeight="1">
      <c r="A11" s="74" t="s">
        <v>119</v>
      </c>
      <c r="B11" s="90">
        <v>16</v>
      </c>
      <c r="C11" s="80">
        <v>3</v>
      </c>
      <c r="D11" s="6">
        <v>0</v>
      </c>
      <c r="E11" s="6">
        <v>0</v>
      </c>
      <c r="F11" s="6">
        <v>0</v>
      </c>
      <c r="G11" s="6">
        <v>2152</v>
      </c>
      <c r="H11" s="6">
        <v>0</v>
      </c>
      <c r="I11" s="6">
        <v>0</v>
      </c>
      <c r="J11" s="6">
        <v>0</v>
      </c>
      <c r="K11" s="6">
        <v>0</v>
      </c>
      <c r="L11" s="6"/>
      <c r="M11" s="7">
        <f t="shared" si="0"/>
        <v>2152</v>
      </c>
      <c r="N11" s="66"/>
      <c r="O11" s="69"/>
      <c r="P11" s="74" t="s">
        <v>119</v>
      </c>
      <c r="Q11" s="90">
        <f>B11+B32</f>
        <v>120</v>
      </c>
      <c r="R11" s="7">
        <f t="shared" si="1"/>
        <v>5067</v>
      </c>
    </row>
    <row r="12" spans="1:18" ht="19.5" customHeight="1">
      <c r="A12" s="75"/>
      <c r="B12" s="91"/>
      <c r="C12" s="92"/>
      <c r="D12" s="9">
        <v>0</v>
      </c>
      <c r="E12" s="9">
        <v>0</v>
      </c>
      <c r="F12" s="9">
        <v>0</v>
      </c>
      <c r="G12" s="9">
        <v>225</v>
      </c>
      <c r="H12" s="9">
        <v>0</v>
      </c>
      <c r="I12" s="9">
        <v>0</v>
      </c>
      <c r="J12" s="9">
        <v>0</v>
      </c>
      <c r="K12" s="9">
        <v>0</v>
      </c>
      <c r="L12" s="9"/>
      <c r="M12" s="10">
        <f t="shared" si="0"/>
        <v>225</v>
      </c>
      <c r="N12" s="66"/>
      <c r="O12" s="69"/>
      <c r="P12" s="75"/>
      <c r="Q12" s="91"/>
      <c r="R12" s="10">
        <f t="shared" si="1"/>
        <v>835</v>
      </c>
    </row>
    <row r="13" spans="1:18" s="51" customFormat="1" ht="19.5" customHeight="1">
      <c r="A13" s="74" t="s">
        <v>101</v>
      </c>
      <c r="B13" s="93">
        <v>8</v>
      </c>
      <c r="C13" s="80">
        <v>3</v>
      </c>
      <c r="D13" s="6">
        <v>0</v>
      </c>
      <c r="E13" s="6">
        <v>50</v>
      </c>
      <c r="F13" s="6">
        <v>250</v>
      </c>
      <c r="G13" s="6">
        <v>370</v>
      </c>
      <c r="H13" s="6">
        <v>450</v>
      </c>
      <c r="I13" s="6">
        <v>60</v>
      </c>
      <c r="J13" s="6">
        <v>200</v>
      </c>
      <c r="K13" s="6">
        <v>10</v>
      </c>
      <c r="L13" s="6"/>
      <c r="M13" s="7">
        <f t="shared" si="0"/>
        <v>1390</v>
      </c>
      <c r="N13" s="67"/>
      <c r="O13" s="70"/>
      <c r="P13" s="74" t="s">
        <v>101</v>
      </c>
      <c r="Q13" s="90">
        <f>B13+B34</f>
        <v>172</v>
      </c>
      <c r="R13" s="7">
        <f t="shared" si="1"/>
        <v>4563</v>
      </c>
    </row>
    <row r="14" spans="1:18" s="51" customFormat="1" ht="19.5" customHeight="1">
      <c r="A14" s="75"/>
      <c r="B14" s="94"/>
      <c r="C14" s="92"/>
      <c r="D14" s="9">
        <v>0</v>
      </c>
      <c r="E14" s="9">
        <v>32</v>
      </c>
      <c r="F14" s="9">
        <v>150</v>
      </c>
      <c r="G14" s="9">
        <v>225</v>
      </c>
      <c r="H14" s="9">
        <v>156</v>
      </c>
      <c r="I14" s="9">
        <v>14</v>
      </c>
      <c r="J14" s="9">
        <v>106</v>
      </c>
      <c r="K14" s="9">
        <v>7</v>
      </c>
      <c r="L14" s="9"/>
      <c r="M14" s="10">
        <f t="shared" si="0"/>
        <v>690</v>
      </c>
      <c r="N14" s="67"/>
      <c r="O14" s="70"/>
      <c r="P14" s="75"/>
      <c r="Q14" s="91"/>
      <c r="R14" s="10">
        <f t="shared" si="1"/>
        <v>1478</v>
      </c>
    </row>
    <row r="15" spans="1:18" ht="19.5" customHeight="1">
      <c r="A15" s="74" t="s">
        <v>102</v>
      </c>
      <c r="B15" s="90">
        <v>23</v>
      </c>
      <c r="C15" s="80">
        <v>5</v>
      </c>
      <c r="D15" s="6">
        <v>30</v>
      </c>
      <c r="E15" s="6">
        <v>0</v>
      </c>
      <c r="F15" s="6">
        <v>50</v>
      </c>
      <c r="G15" s="6">
        <v>700</v>
      </c>
      <c r="H15" s="6">
        <v>100</v>
      </c>
      <c r="I15" s="6">
        <v>0</v>
      </c>
      <c r="J15" s="6">
        <v>0</v>
      </c>
      <c r="K15" s="6">
        <v>0</v>
      </c>
      <c r="L15" s="6"/>
      <c r="M15" s="7">
        <f t="shared" si="0"/>
        <v>880</v>
      </c>
      <c r="P15" s="74" t="s">
        <v>102</v>
      </c>
      <c r="Q15" s="90">
        <f>B15+B36</f>
        <v>226</v>
      </c>
      <c r="R15" s="7">
        <f t="shared" si="1"/>
        <v>4498</v>
      </c>
    </row>
    <row r="16" spans="1:18" ht="19.5" customHeight="1">
      <c r="A16" s="75"/>
      <c r="B16" s="91"/>
      <c r="C16" s="92"/>
      <c r="D16" s="9">
        <v>4</v>
      </c>
      <c r="E16" s="9">
        <v>0</v>
      </c>
      <c r="F16" s="9">
        <v>0</v>
      </c>
      <c r="G16" s="9">
        <v>190</v>
      </c>
      <c r="H16" s="9">
        <v>36</v>
      </c>
      <c r="I16" s="9">
        <v>0</v>
      </c>
      <c r="J16" s="9">
        <v>0</v>
      </c>
      <c r="K16" s="9">
        <v>0</v>
      </c>
      <c r="L16" s="9"/>
      <c r="M16" s="10">
        <f t="shared" si="0"/>
        <v>230</v>
      </c>
      <c r="P16" s="75"/>
      <c r="Q16" s="91"/>
      <c r="R16" s="10">
        <f t="shared" si="1"/>
        <v>995</v>
      </c>
    </row>
    <row r="17" spans="1:18" ht="19.5" customHeight="1">
      <c r="A17" s="74" t="s">
        <v>120</v>
      </c>
      <c r="B17" s="90">
        <v>43</v>
      </c>
      <c r="C17" s="80">
        <v>6</v>
      </c>
      <c r="D17" s="6">
        <v>600</v>
      </c>
      <c r="E17" s="6">
        <v>0</v>
      </c>
      <c r="F17" s="6">
        <v>300</v>
      </c>
      <c r="G17" s="6">
        <v>6867</v>
      </c>
      <c r="H17" s="6">
        <v>3220</v>
      </c>
      <c r="I17" s="6">
        <v>690</v>
      </c>
      <c r="J17" s="6">
        <v>200</v>
      </c>
      <c r="K17" s="6">
        <v>120</v>
      </c>
      <c r="L17" s="6"/>
      <c r="M17" s="7">
        <f t="shared" si="0"/>
        <v>11997</v>
      </c>
      <c r="P17" s="74" t="s">
        <v>120</v>
      </c>
      <c r="Q17" s="90">
        <f>B17+B38</f>
        <v>171</v>
      </c>
      <c r="R17" s="7">
        <f t="shared" si="1"/>
        <v>20160</v>
      </c>
    </row>
    <row r="18" spans="1:18" ht="19.5" customHeight="1">
      <c r="A18" s="75"/>
      <c r="B18" s="91"/>
      <c r="C18" s="92"/>
      <c r="D18" s="9">
        <v>229</v>
      </c>
      <c r="E18" s="9">
        <v>0</v>
      </c>
      <c r="F18" s="9">
        <v>85</v>
      </c>
      <c r="G18" s="9">
        <v>1880</v>
      </c>
      <c r="H18" s="9">
        <v>998</v>
      </c>
      <c r="I18" s="9">
        <v>335</v>
      </c>
      <c r="J18" s="9">
        <v>0</v>
      </c>
      <c r="K18" s="9">
        <v>0</v>
      </c>
      <c r="L18" s="9"/>
      <c r="M18" s="10">
        <f t="shared" si="0"/>
        <v>3527</v>
      </c>
      <c r="P18" s="75"/>
      <c r="Q18" s="91"/>
      <c r="R18" s="10">
        <f t="shared" si="1"/>
        <v>4980</v>
      </c>
    </row>
    <row r="19" spans="1:18" ht="19.5" customHeight="1">
      <c r="A19" s="74" t="s">
        <v>121</v>
      </c>
      <c r="B19" s="76">
        <f>SUM(B5:B18)</f>
        <v>203</v>
      </c>
      <c r="C19" s="76">
        <f>SUM(C5:C18)</f>
        <v>26</v>
      </c>
      <c r="D19" s="7">
        <f aca="true" t="shared" si="2" ref="D19:K20">D5+D7+D9+D11+D13+D15+D17</f>
        <v>980</v>
      </c>
      <c r="E19" s="7">
        <f t="shared" si="2"/>
        <v>900</v>
      </c>
      <c r="F19" s="7">
        <f t="shared" si="2"/>
        <v>1290</v>
      </c>
      <c r="G19" s="7">
        <f t="shared" si="2"/>
        <v>17252</v>
      </c>
      <c r="H19" s="7">
        <f t="shared" si="2"/>
        <v>5570</v>
      </c>
      <c r="I19" s="7">
        <f t="shared" si="2"/>
        <v>1865</v>
      </c>
      <c r="J19" s="7">
        <f t="shared" si="2"/>
        <v>1250</v>
      </c>
      <c r="K19" s="7">
        <f t="shared" si="2"/>
        <v>595</v>
      </c>
      <c r="L19" s="7"/>
      <c r="M19" s="7">
        <f t="shared" si="0"/>
        <v>29702</v>
      </c>
      <c r="P19" s="74" t="s">
        <v>121</v>
      </c>
      <c r="Q19" s="76">
        <f>B19+B40</f>
        <v>1199</v>
      </c>
      <c r="R19" s="7">
        <f t="shared" si="1"/>
        <v>55638</v>
      </c>
    </row>
    <row r="20" spans="1:18" ht="19.5" customHeight="1">
      <c r="A20" s="75"/>
      <c r="B20" s="77"/>
      <c r="C20" s="77"/>
      <c r="D20" s="8">
        <f t="shared" si="2"/>
        <v>303</v>
      </c>
      <c r="E20" s="8">
        <f t="shared" si="2"/>
        <v>55</v>
      </c>
      <c r="F20" s="8">
        <f t="shared" si="2"/>
        <v>454</v>
      </c>
      <c r="G20" s="8">
        <f t="shared" si="2"/>
        <v>3875</v>
      </c>
      <c r="H20" s="8">
        <f t="shared" si="2"/>
        <v>1451</v>
      </c>
      <c r="I20" s="8">
        <f t="shared" si="2"/>
        <v>572</v>
      </c>
      <c r="J20" s="8">
        <f t="shared" si="2"/>
        <v>150</v>
      </c>
      <c r="K20" s="8">
        <f t="shared" si="2"/>
        <v>129</v>
      </c>
      <c r="L20" s="8"/>
      <c r="M20" s="8">
        <f t="shared" si="0"/>
        <v>6989</v>
      </c>
      <c r="P20" s="75"/>
      <c r="Q20" s="77"/>
      <c r="R20" s="8">
        <f t="shared" si="1"/>
        <v>12251</v>
      </c>
    </row>
    <row r="21" spans="1:17" ht="19.5" customHeight="1">
      <c r="A21" s="13"/>
      <c r="B21" s="14"/>
      <c r="C21" s="4"/>
      <c r="D21" s="15"/>
      <c r="E21" s="15"/>
      <c r="F21" s="32"/>
      <c r="G21" s="15"/>
      <c r="H21" s="15"/>
      <c r="I21" s="15"/>
      <c r="J21" s="32"/>
      <c r="K21" s="32"/>
      <c r="L21" s="15"/>
      <c r="M21" s="15"/>
      <c r="N21" s="2"/>
      <c r="O21" s="2"/>
      <c r="P21" s="2"/>
      <c r="Q21" s="2"/>
    </row>
    <row r="22" spans="1:17" ht="19.5" customHeight="1">
      <c r="A22" s="13"/>
      <c r="B22" s="14"/>
      <c r="C22" s="4"/>
      <c r="D22" s="15"/>
      <c r="E22" s="15"/>
      <c r="F22" s="32"/>
      <c r="G22" s="15"/>
      <c r="H22" s="15"/>
      <c r="I22" s="15"/>
      <c r="J22" s="32"/>
      <c r="K22" s="32"/>
      <c r="L22" s="15"/>
      <c r="M22" s="15"/>
      <c r="N22" s="2"/>
      <c r="O22" s="2"/>
      <c r="P22" s="2"/>
      <c r="Q22" s="2"/>
    </row>
    <row r="23" spans="1:17" ht="19.5" customHeight="1">
      <c r="A23" s="11" t="s">
        <v>122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9.5" customHeight="1">
      <c r="A24" s="83" t="s">
        <v>179</v>
      </c>
      <c r="B24" s="85" t="s">
        <v>106</v>
      </c>
      <c r="C24" s="3" t="s">
        <v>107</v>
      </c>
      <c r="D24" s="87" t="s">
        <v>108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</row>
    <row r="25" spans="1:18" ht="19.5" customHeight="1">
      <c r="A25" s="84"/>
      <c r="B25" s="86"/>
      <c r="C25" s="5" t="s">
        <v>109</v>
      </c>
      <c r="D25" s="5" t="s">
        <v>195</v>
      </c>
      <c r="E25" s="5" t="s">
        <v>196</v>
      </c>
      <c r="F25" s="5" t="s">
        <v>197</v>
      </c>
      <c r="G25" s="5" t="s">
        <v>198</v>
      </c>
      <c r="H25" s="5" t="s">
        <v>199</v>
      </c>
      <c r="I25" s="5" t="s">
        <v>200</v>
      </c>
      <c r="J25" s="5" t="s">
        <v>201</v>
      </c>
      <c r="K25" s="5" t="s">
        <v>202</v>
      </c>
      <c r="L25" s="54" t="s">
        <v>95</v>
      </c>
      <c r="M25" s="54" t="s">
        <v>203</v>
      </c>
      <c r="N25" s="54" t="s">
        <v>204</v>
      </c>
      <c r="O25" s="5" t="s">
        <v>205</v>
      </c>
      <c r="P25" s="5" t="s">
        <v>206</v>
      </c>
      <c r="Q25" s="5" t="s">
        <v>185</v>
      </c>
      <c r="R25" s="12" t="s">
        <v>115</v>
      </c>
    </row>
    <row r="26" spans="1:18" ht="19.5" customHeight="1">
      <c r="A26" s="74" t="s">
        <v>159</v>
      </c>
      <c r="B26" s="76">
        <v>224</v>
      </c>
      <c r="C26" s="80">
        <v>5</v>
      </c>
      <c r="D26" s="6">
        <v>34</v>
      </c>
      <c r="E26" s="6">
        <v>0</v>
      </c>
      <c r="F26" s="6">
        <v>47</v>
      </c>
      <c r="G26" s="6">
        <v>0</v>
      </c>
      <c r="H26" s="78">
        <v>895</v>
      </c>
      <c r="I26" s="79"/>
      <c r="J26" s="6">
        <v>0</v>
      </c>
      <c r="K26" s="6">
        <v>0</v>
      </c>
      <c r="L26" s="6">
        <v>910</v>
      </c>
      <c r="M26" s="6">
        <v>382</v>
      </c>
      <c r="N26" s="6">
        <v>100</v>
      </c>
      <c r="O26" s="6">
        <v>147</v>
      </c>
      <c r="P26" s="6">
        <v>0</v>
      </c>
      <c r="Q26" s="6">
        <v>0</v>
      </c>
      <c r="R26" s="7">
        <f aca="true" t="shared" si="3" ref="R26:R40">SUM(D26:Q26)</f>
        <v>2515</v>
      </c>
    </row>
    <row r="27" spans="1:18" ht="19.5" customHeight="1">
      <c r="A27" s="75"/>
      <c r="B27" s="77"/>
      <c r="C27" s="81"/>
      <c r="D27" s="9">
        <v>3</v>
      </c>
      <c r="E27" s="9">
        <v>0</v>
      </c>
      <c r="F27" s="9">
        <v>9</v>
      </c>
      <c r="G27" s="9">
        <v>0</v>
      </c>
      <c r="H27" s="9">
        <v>85</v>
      </c>
      <c r="I27" s="46">
        <v>123</v>
      </c>
      <c r="J27" s="9">
        <v>0</v>
      </c>
      <c r="K27" s="9">
        <v>0</v>
      </c>
      <c r="L27" s="9">
        <v>133</v>
      </c>
      <c r="M27" s="9">
        <v>73</v>
      </c>
      <c r="N27" s="9">
        <v>30</v>
      </c>
      <c r="O27" s="9">
        <v>10</v>
      </c>
      <c r="P27" s="9">
        <v>0</v>
      </c>
      <c r="Q27" s="9">
        <v>0</v>
      </c>
      <c r="R27" s="8">
        <f t="shared" si="3"/>
        <v>466</v>
      </c>
    </row>
    <row r="28" spans="1:18" ht="19.5" customHeight="1">
      <c r="A28" s="74" t="s">
        <v>178</v>
      </c>
      <c r="B28" s="76">
        <v>130</v>
      </c>
      <c r="C28" s="80">
        <v>2</v>
      </c>
      <c r="D28" s="6">
        <v>10</v>
      </c>
      <c r="E28" s="6">
        <v>140</v>
      </c>
      <c r="F28" s="6">
        <v>580</v>
      </c>
      <c r="G28" s="6">
        <v>0</v>
      </c>
      <c r="H28" s="78">
        <v>177</v>
      </c>
      <c r="I28" s="79"/>
      <c r="J28" s="6">
        <v>219</v>
      </c>
      <c r="K28" s="6">
        <v>160</v>
      </c>
      <c r="L28" s="6">
        <v>1655</v>
      </c>
      <c r="M28" s="6">
        <v>1260</v>
      </c>
      <c r="N28" s="6">
        <v>60</v>
      </c>
      <c r="O28" s="6">
        <v>785</v>
      </c>
      <c r="P28" s="6">
        <v>0</v>
      </c>
      <c r="Q28" s="6">
        <v>20</v>
      </c>
      <c r="R28" s="7">
        <f t="shared" si="3"/>
        <v>5066</v>
      </c>
    </row>
    <row r="29" spans="1:18" ht="19.5" customHeight="1">
      <c r="A29" s="75"/>
      <c r="B29" s="77"/>
      <c r="C29" s="81"/>
      <c r="D29" s="9">
        <v>8</v>
      </c>
      <c r="E29" s="9">
        <v>1</v>
      </c>
      <c r="F29" s="9">
        <v>171</v>
      </c>
      <c r="G29" s="9">
        <v>0</v>
      </c>
      <c r="H29" s="9">
        <v>21</v>
      </c>
      <c r="I29" s="46">
        <v>0</v>
      </c>
      <c r="J29" s="9">
        <v>40</v>
      </c>
      <c r="K29" s="9">
        <v>32</v>
      </c>
      <c r="L29" s="9">
        <v>550</v>
      </c>
      <c r="M29" s="9">
        <v>200</v>
      </c>
      <c r="N29" s="9">
        <v>10</v>
      </c>
      <c r="O29" s="9">
        <v>66</v>
      </c>
      <c r="P29" s="9">
        <v>0</v>
      </c>
      <c r="Q29" s="9">
        <v>0</v>
      </c>
      <c r="R29" s="8">
        <f t="shared" si="3"/>
        <v>1099</v>
      </c>
    </row>
    <row r="30" spans="1:18" s="51" customFormat="1" ht="19.5" customHeight="1">
      <c r="A30" s="74" t="s">
        <v>118</v>
      </c>
      <c r="B30" s="76">
        <v>43</v>
      </c>
      <c r="C30" s="80">
        <v>3</v>
      </c>
      <c r="D30" s="6">
        <v>3</v>
      </c>
      <c r="E30" s="6">
        <v>0</v>
      </c>
      <c r="F30" s="6">
        <v>12</v>
      </c>
      <c r="G30" s="6">
        <v>0</v>
      </c>
      <c r="H30" s="78">
        <v>120</v>
      </c>
      <c r="I30" s="79"/>
      <c r="J30" s="6">
        <v>100</v>
      </c>
      <c r="K30" s="6">
        <v>0</v>
      </c>
      <c r="L30" s="6">
        <v>121</v>
      </c>
      <c r="M30" s="6">
        <v>83</v>
      </c>
      <c r="N30" s="6">
        <v>0</v>
      </c>
      <c r="O30" s="6">
        <v>47</v>
      </c>
      <c r="P30" s="6">
        <v>0</v>
      </c>
      <c r="Q30" s="6">
        <v>0</v>
      </c>
      <c r="R30" s="7">
        <f t="shared" si="3"/>
        <v>486</v>
      </c>
    </row>
    <row r="31" spans="1:18" s="51" customFormat="1" ht="19.5" customHeight="1">
      <c r="A31" s="75"/>
      <c r="B31" s="77"/>
      <c r="C31" s="81"/>
      <c r="D31" s="9">
        <v>0</v>
      </c>
      <c r="E31" s="9">
        <v>0</v>
      </c>
      <c r="F31" s="9">
        <v>3</v>
      </c>
      <c r="G31" s="9">
        <v>0</v>
      </c>
      <c r="H31" s="9">
        <v>19</v>
      </c>
      <c r="I31" s="46">
        <v>17</v>
      </c>
      <c r="J31" s="9">
        <v>3</v>
      </c>
      <c r="K31" s="9">
        <v>0</v>
      </c>
      <c r="L31" s="9">
        <v>26</v>
      </c>
      <c r="M31" s="9">
        <v>13</v>
      </c>
      <c r="N31" s="9">
        <v>0</v>
      </c>
      <c r="O31" s="9">
        <v>0</v>
      </c>
      <c r="P31" s="9">
        <v>0</v>
      </c>
      <c r="Q31" s="9">
        <v>0</v>
      </c>
      <c r="R31" s="8">
        <f t="shared" si="3"/>
        <v>81</v>
      </c>
    </row>
    <row r="32" spans="1:18" ht="19.5" customHeight="1">
      <c r="A32" s="74" t="s">
        <v>119</v>
      </c>
      <c r="B32" s="76">
        <v>104</v>
      </c>
      <c r="C32" s="80">
        <v>4</v>
      </c>
      <c r="D32" s="6">
        <v>1</v>
      </c>
      <c r="E32" s="6">
        <v>10</v>
      </c>
      <c r="F32" s="6">
        <v>220</v>
      </c>
      <c r="G32" s="6">
        <v>0</v>
      </c>
      <c r="H32" s="78">
        <v>775</v>
      </c>
      <c r="I32" s="79"/>
      <c r="J32" s="6">
        <v>84</v>
      </c>
      <c r="K32" s="6">
        <v>0</v>
      </c>
      <c r="L32" s="6">
        <v>885</v>
      </c>
      <c r="M32" s="6">
        <v>650</v>
      </c>
      <c r="N32" s="6">
        <v>0</v>
      </c>
      <c r="O32" s="6">
        <v>290</v>
      </c>
      <c r="P32" s="6">
        <v>0</v>
      </c>
      <c r="Q32" s="6">
        <v>0</v>
      </c>
      <c r="R32" s="7">
        <f t="shared" si="3"/>
        <v>2915</v>
      </c>
    </row>
    <row r="33" spans="1:18" ht="19.5" customHeight="1">
      <c r="A33" s="75"/>
      <c r="B33" s="77"/>
      <c r="C33" s="81"/>
      <c r="D33" s="9">
        <v>0</v>
      </c>
      <c r="E33" s="9">
        <v>0</v>
      </c>
      <c r="F33" s="9">
        <v>31</v>
      </c>
      <c r="G33" s="9">
        <v>0</v>
      </c>
      <c r="H33" s="9">
        <v>99</v>
      </c>
      <c r="I33" s="46">
        <v>113</v>
      </c>
      <c r="J33" s="9">
        <v>11</v>
      </c>
      <c r="K33" s="9">
        <v>0</v>
      </c>
      <c r="L33" s="9">
        <v>215</v>
      </c>
      <c r="M33" s="9">
        <v>140</v>
      </c>
      <c r="N33" s="9">
        <v>0</v>
      </c>
      <c r="O33" s="9">
        <v>1</v>
      </c>
      <c r="P33" s="9">
        <v>0</v>
      </c>
      <c r="Q33" s="9">
        <v>0</v>
      </c>
      <c r="R33" s="8">
        <f t="shared" si="3"/>
        <v>610</v>
      </c>
    </row>
    <row r="34" spans="1:18" s="51" customFormat="1" ht="19.5" customHeight="1">
      <c r="A34" s="74" t="s">
        <v>101</v>
      </c>
      <c r="B34" s="76">
        <v>164</v>
      </c>
      <c r="C34" s="80">
        <v>6</v>
      </c>
      <c r="D34" s="6">
        <v>58</v>
      </c>
      <c r="E34" s="6">
        <v>10</v>
      </c>
      <c r="F34" s="6">
        <v>160</v>
      </c>
      <c r="G34" s="6">
        <v>0</v>
      </c>
      <c r="H34" s="78">
        <v>133</v>
      </c>
      <c r="I34" s="79"/>
      <c r="J34" s="6">
        <v>522</v>
      </c>
      <c r="K34" s="6">
        <v>20</v>
      </c>
      <c r="L34" s="6">
        <v>2050</v>
      </c>
      <c r="M34" s="6">
        <v>170</v>
      </c>
      <c r="N34" s="6">
        <v>0</v>
      </c>
      <c r="O34" s="6">
        <v>30</v>
      </c>
      <c r="P34" s="6">
        <v>20</v>
      </c>
      <c r="Q34" s="6">
        <v>0</v>
      </c>
      <c r="R34" s="7">
        <f t="shared" si="3"/>
        <v>3173</v>
      </c>
    </row>
    <row r="35" spans="1:18" s="51" customFormat="1" ht="19.5" customHeight="1">
      <c r="A35" s="75"/>
      <c r="B35" s="77"/>
      <c r="C35" s="81"/>
      <c r="D35" s="9">
        <v>28</v>
      </c>
      <c r="E35" s="9">
        <v>1</v>
      </c>
      <c r="F35" s="9">
        <v>18</v>
      </c>
      <c r="G35" s="9">
        <v>0</v>
      </c>
      <c r="H35" s="9">
        <v>17</v>
      </c>
      <c r="I35" s="46">
        <v>10</v>
      </c>
      <c r="J35" s="9">
        <v>143</v>
      </c>
      <c r="K35" s="9">
        <v>3</v>
      </c>
      <c r="L35" s="9">
        <v>535</v>
      </c>
      <c r="M35" s="9">
        <v>13</v>
      </c>
      <c r="N35" s="9">
        <v>0</v>
      </c>
      <c r="O35" s="9">
        <v>0</v>
      </c>
      <c r="P35" s="9">
        <v>20</v>
      </c>
      <c r="Q35" s="9">
        <v>0</v>
      </c>
      <c r="R35" s="8">
        <f t="shared" si="3"/>
        <v>788</v>
      </c>
    </row>
    <row r="36" spans="1:18" ht="19.5" customHeight="1">
      <c r="A36" s="74" t="s">
        <v>102</v>
      </c>
      <c r="B36" s="76">
        <v>203</v>
      </c>
      <c r="C36" s="80">
        <v>5</v>
      </c>
      <c r="D36" s="6">
        <v>47</v>
      </c>
      <c r="E36" s="6">
        <v>1</v>
      </c>
      <c r="F36" s="6">
        <v>11</v>
      </c>
      <c r="G36" s="6">
        <v>0</v>
      </c>
      <c r="H36" s="78">
        <v>503</v>
      </c>
      <c r="I36" s="82"/>
      <c r="J36" s="6">
        <v>886</v>
      </c>
      <c r="K36" s="6">
        <v>0</v>
      </c>
      <c r="L36" s="6">
        <v>1346</v>
      </c>
      <c r="M36" s="6">
        <v>751</v>
      </c>
      <c r="N36" s="6">
        <v>0</v>
      </c>
      <c r="O36" s="6">
        <v>30</v>
      </c>
      <c r="P36" s="6">
        <v>23</v>
      </c>
      <c r="Q36" s="6">
        <v>20</v>
      </c>
      <c r="R36" s="7">
        <f t="shared" si="3"/>
        <v>3618</v>
      </c>
    </row>
    <row r="37" spans="1:18" ht="19.5" customHeight="1">
      <c r="A37" s="75"/>
      <c r="B37" s="77"/>
      <c r="C37" s="81"/>
      <c r="D37" s="9">
        <v>11</v>
      </c>
      <c r="E37" s="9">
        <v>1</v>
      </c>
      <c r="F37" s="9">
        <v>10</v>
      </c>
      <c r="G37" s="9">
        <v>0</v>
      </c>
      <c r="H37" s="9">
        <v>83</v>
      </c>
      <c r="I37" s="46">
        <v>121</v>
      </c>
      <c r="J37" s="9">
        <v>181</v>
      </c>
      <c r="K37" s="9">
        <v>0</v>
      </c>
      <c r="L37" s="9">
        <v>245</v>
      </c>
      <c r="M37" s="9">
        <v>83</v>
      </c>
      <c r="N37" s="9">
        <v>0</v>
      </c>
      <c r="O37" s="9">
        <v>1</v>
      </c>
      <c r="P37" s="9">
        <v>23</v>
      </c>
      <c r="Q37" s="9">
        <v>6</v>
      </c>
      <c r="R37" s="8">
        <f t="shared" si="3"/>
        <v>765</v>
      </c>
    </row>
    <row r="38" spans="1:18" ht="19.5" customHeight="1">
      <c r="A38" s="74" t="s">
        <v>120</v>
      </c>
      <c r="B38" s="76">
        <v>128</v>
      </c>
      <c r="C38" s="80">
        <v>6</v>
      </c>
      <c r="D38" s="6">
        <v>38</v>
      </c>
      <c r="E38" s="6">
        <v>24</v>
      </c>
      <c r="F38" s="6">
        <v>268</v>
      </c>
      <c r="G38" s="6">
        <v>0</v>
      </c>
      <c r="H38" s="78">
        <v>325</v>
      </c>
      <c r="I38" s="79"/>
      <c r="J38" s="6">
        <v>126</v>
      </c>
      <c r="K38" s="6">
        <v>0</v>
      </c>
      <c r="L38" s="6">
        <v>6806</v>
      </c>
      <c r="M38" s="6">
        <v>362</v>
      </c>
      <c r="N38" s="6">
        <v>100</v>
      </c>
      <c r="O38" s="6">
        <v>114</v>
      </c>
      <c r="P38" s="6">
        <v>0</v>
      </c>
      <c r="Q38" s="6">
        <v>0</v>
      </c>
      <c r="R38" s="7">
        <f t="shared" si="3"/>
        <v>8163</v>
      </c>
    </row>
    <row r="39" spans="1:18" ht="19.5" customHeight="1">
      <c r="A39" s="75"/>
      <c r="B39" s="77"/>
      <c r="C39" s="81"/>
      <c r="D39" s="9">
        <v>4</v>
      </c>
      <c r="E39" s="9">
        <v>4</v>
      </c>
      <c r="F39" s="9">
        <v>31</v>
      </c>
      <c r="G39" s="9">
        <v>0</v>
      </c>
      <c r="H39" s="9">
        <v>107</v>
      </c>
      <c r="I39" s="46">
        <v>105</v>
      </c>
      <c r="J39" s="9">
        <v>54</v>
      </c>
      <c r="K39" s="9">
        <v>0</v>
      </c>
      <c r="L39" s="9">
        <v>1039</v>
      </c>
      <c r="M39" s="9">
        <v>35</v>
      </c>
      <c r="N39" s="9">
        <v>61</v>
      </c>
      <c r="O39" s="9">
        <v>13</v>
      </c>
      <c r="P39" s="9">
        <v>0</v>
      </c>
      <c r="Q39" s="9">
        <v>0</v>
      </c>
      <c r="R39" s="8">
        <f t="shared" si="3"/>
        <v>1453</v>
      </c>
    </row>
    <row r="40" spans="1:18" ht="19.5" customHeight="1">
      <c r="A40" s="74" t="s">
        <v>136</v>
      </c>
      <c r="B40" s="76">
        <f>SUM(B26:B39)</f>
        <v>996</v>
      </c>
      <c r="C40" s="76">
        <f>SUM(C26:C39)</f>
        <v>31</v>
      </c>
      <c r="D40" s="7">
        <f aca="true" t="shared" si="4" ref="D40:H41">D26+D28+D30+D32+D34+D36+D38</f>
        <v>191</v>
      </c>
      <c r="E40" s="7">
        <f t="shared" si="4"/>
        <v>185</v>
      </c>
      <c r="F40" s="7">
        <f t="shared" si="4"/>
        <v>1298</v>
      </c>
      <c r="G40" s="7">
        <f t="shared" si="4"/>
        <v>0</v>
      </c>
      <c r="H40" s="78">
        <f t="shared" si="4"/>
        <v>2928</v>
      </c>
      <c r="I40" s="79"/>
      <c r="J40" s="7">
        <f aca="true" t="shared" si="5" ref="J40:Q41">J26+J28+J30+J32+J34+J36+J38</f>
        <v>1937</v>
      </c>
      <c r="K40" s="7">
        <f t="shared" si="5"/>
        <v>180</v>
      </c>
      <c r="L40" s="7">
        <f t="shared" si="5"/>
        <v>13773</v>
      </c>
      <c r="M40" s="7">
        <f t="shared" si="5"/>
        <v>3658</v>
      </c>
      <c r="N40" s="7">
        <f t="shared" si="5"/>
        <v>260</v>
      </c>
      <c r="O40" s="7">
        <f t="shared" si="5"/>
        <v>1443</v>
      </c>
      <c r="P40" s="7">
        <f t="shared" si="5"/>
        <v>43</v>
      </c>
      <c r="Q40" s="7">
        <f t="shared" si="5"/>
        <v>40</v>
      </c>
      <c r="R40" s="7">
        <f t="shared" si="3"/>
        <v>25936</v>
      </c>
    </row>
    <row r="41" spans="1:18" ht="19.5" customHeight="1">
      <c r="A41" s="75"/>
      <c r="B41" s="77"/>
      <c r="C41" s="77"/>
      <c r="D41" s="8">
        <f t="shared" si="4"/>
        <v>54</v>
      </c>
      <c r="E41" s="8">
        <f t="shared" si="4"/>
        <v>7</v>
      </c>
      <c r="F41" s="8">
        <f t="shared" si="4"/>
        <v>273</v>
      </c>
      <c r="G41" s="8">
        <f t="shared" si="4"/>
        <v>0</v>
      </c>
      <c r="H41" s="8">
        <f t="shared" si="4"/>
        <v>431</v>
      </c>
      <c r="I41" s="8">
        <f>I27+I29+I31+I33+I35+I37+I39</f>
        <v>489</v>
      </c>
      <c r="J41" s="8">
        <f t="shared" si="5"/>
        <v>432</v>
      </c>
      <c r="K41" s="8">
        <f t="shared" si="5"/>
        <v>35</v>
      </c>
      <c r="L41" s="8">
        <f t="shared" si="5"/>
        <v>2743</v>
      </c>
      <c r="M41" s="8">
        <f t="shared" si="5"/>
        <v>557</v>
      </c>
      <c r="N41" s="8">
        <f t="shared" si="5"/>
        <v>101</v>
      </c>
      <c r="O41" s="8">
        <f t="shared" si="5"/>
        <v>91</v>
      </c>
      <c r="P41" s="8">
        <f t="shared" si="5"/>
        <v>43</v>
      </c>
      <c r="Q41" s="8">
        <f>Q27+Q29+Q31+Q33+Q35+Q37+Q39</f>
        <v>6</v>
      </c>
      <c r="R41" s="8">
        <f>SUM(D41:Q41)</f>
        <v>5262</v>
      </c>
    </row>
  </sheetData>
  <sheetProtection/>
  <mergeCells count="81">
    <mergeCell ref="A36:A37"/>
    <mergeCell ref="B36:B37"/>
    <mergeCell ref="C36:C37"/>
    <mergeCell ref="H36:I36"/>
    <mergeCell ref="A40:A41"/>
    <mergeCell ref="B40:B41"/>
    <mergeCell ref="C40:C41"/>
    <mergeCell ref="H40:I40"/>
    <mergeCell ref="C38:C39"/>
    <mergeCell ref="H38:I38"/>
    <mergeCell ref="A38:A39"/>
    <mergeCell ref="B38:B39"/>
    <mergeCell ref="A32:A33"/>
    <mergeCell ref="B32:B33"/>
    <mergeCell ref="C32:C33"/>
    <mergeCell ref="H32:I32"/>
    <mergeCell ref="A34:A35"/>
    <mergeCell ref="B34:B35"/>
    <mergeCell ref="C34:C35"/>
    <mergeCell ref="H34:I34"/>
    <mergeCell ref="A30:A31"/>
    <mergeCell ref="B30:B31"/>
    <mergeCell ref="C30:C31"/>
    <mergeCell ref="H30:I30"/>
    <mergeCell ref="A28:A29"/>
    <mergeCell ref="B28:B29"/>
    <mergeCell ref="C28:C29"/>
    <mergeCell ref="H28:I28"/>
    <mergeCell ref="A26:A27"/>
    <mergeCell ref="B26:B27"/>
    <mergeCell ref="C26:C27"/>
    <mergeCell ref="H26:I26"/>
    <mergeCell ref="P15:P16"/>
    <mergeCell ref="Q19:Q20"/>
    <mergeCell ref="A24:A25"/>
    <mergeCell ref="B24:B25"/>
    <mergeCell ref="D24:R24"/>
    <mergeCell ref="A19:A20"/>
    <mergeCell ref="B19:B20"/>
    <mergeCell ref="C19:C20"/>
    <mergeCell ref="P19:P20"/>
    <mergeCell ref="P11:P12"/>
    <mergeCell ref="Q15:Q16"/>
    <mergeCell ref="A17:A18"/>
    <mergeCell ref="B17:B18"/>
    <mergeCell ref="C17:C18"/>
    <mergeCell ref="P17:P18"/>
    <mergeCell ref="Q17:Q18"/>
    <mergeCell ref="Q11:Q12"/>
    <mergeCell ref="A13:A14"/>
    <mergeCell ref="B13:B14"/>
    <mergeCell ref="C13:C14"/>
    <mergeCell ref="P13:P14"/>
    <mergeCell ref="Q13:Q14"/>
    <mergeCell ref="A11:A12"/>
    <mergeCell ref="B11:B12"/>
    <mergeCell ref="C11:C12"/>
    <mergeCell ref="A15:A16"/>
    <mergeCell ref="B15:B16"/>
    <mergeCell ref="C15:C16"/>
    <mergeCell ref="P7:P8"/>
    <mergeCell ref="B7:B8"/>
    <mergeCell ref="C7:C8"/>
    <mergeCell ref="A9:A10"/>
    <mergeCell ref="B9:B10"/>
    <mergeCell ref="C9:C10"/>
    <mergeCell ref="P9:P10"/>
    <mergeCell ref="Q9:Q10"/>
    <mergeCell ref="P3:P4"/>
    <mergeCell ref="Q3:Q4"/>
    <mergeCell ref="B5:B6"/>
    <mergeCell ref="C5:C6"/>
    <mergeCell ref="P5:P6"/>
    <mergeCell ref="Q5:Q6"/>
    <mergeCell ref="A3:A4"/>
    <mergeCell ref="B3:B4"/>
    <mergeCell ref="A7:A8"/>
    <mergeCell ref="D3:M3"/>
    <mergeCell ref="C3:C4"/>
    <mergeCell ref="Q7:Q8"/>
    <mergeCell ref="A5:A6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0"/>
  </sheetPr>
  <dimension ref="A1:R42"/>
  <sheetViews>
    <sheetView zoomScale="70" zoomScaleNormal="70" zoomScalePageLayoutView="0" workbookViewId="0" topLeftCell="A7">
      <selection activeCell="A1" sqref="A1"/>
    </sheetView>
  </sheetViews>
  <sheetFormatPr defaultColWidth="9.00390625" defaultRowHeight="13.5"/>
  <cols>
    <col min="9" max="9" width="9.00390625" style="51" customWidth="1"/>
  </cols>
  <sheetData>
    <row r="1" spans="1:17" ht="19.5" customHeight="1">
      <c r="A1" s="1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168</v>
      </c>
      <c r="Q2" s="2"/>
    </row>
    <row r="3" spans="1:18" ht="19.5" customHeight="1">
      <c r="A3" s="83" t="s">
        <v>179</v>
      </c>
      <c r="B3" s="85" t="s">
        <v>106</v>
      </c>
      <c r="C3" s="95" t="s">
        <v>109</v>
      </c>
      <c r="D3" s="87" t="s">
        <v>108</v>
      </c>
      <c r="E3" s="88"/>
      <c r="F3" s="88"/>
      <c r="G3" s="88"/>
      <c r="H3" s="88"/>
      <c r="I3" s="88"/>
      <c r="J3" s="88"/>
      <c r="K3" s="88"/>
      <c r="L3" s="88"/>
      <c r="M3" s="89"/>
      <c r="N3" s="57"/>
      <c r="O3" s="68"/>
      <c r="P3" s="83" t="s">
        <v>100</v>
      </c>
      <c r="Q3" s="85" t="s">
        <v>106</v>
      </c>
      <c r="R3" s="61" t="s">
        <v>166</v>
      </c>
    </row>
    <row r="4" spans="1:18" ht="19.5" customHeight="1">
      <c r="A4" s="84"/>
      <c r="B4" s="86"/>
      <c r="C4" s="96"/>
      <c r="D4" s="5" t="s">
        <v>110</v>
      </c>
      <c r="E4" s="5" t="s">
        <v>4</v>
      </c>
      <c r="F4" s="5" t="s">
        <v>3</v>
      </c>
      <c r="G4" s="5" t="s">
        <v>39</v>
      </c>
      <c r="H4" s="5" t="s">
        <v>40</v>
      </c>
      <c r="I4" s="5" t="s">
        <v>6</v>
      </c>
      <c r="J4" s="16" t="s">
        <v>36</v>
      </c>
      <c r="K4" s="17" t="s">
        <v>41</v>
      </c>
      <c r="L4" s="17"/>
      <c r="M4" s="12" t="s">
        <v>115</v>
      </c>
      <c r="N4" s="66"/>
      <c r="O4" s="69"/>
      <c r="P4" s="84"/>
      <c r="Q4" s="86"/>
      <c r="R4" s="62" t="s">
        <v>167</v>
      </c>
    </row>
    <row r="5" spans="1:18" ht="19.5" customHeight="1">
      <c r="A5" s="74" t="s">
        <v>159</v>
      </c>
      <c r="B5" s="90">
        <f>51+1</f>
        <v>52</v>
      </c>
      <c r="C5" s="80">
        <v>6</v>
      </c>
      <c r="D5" s="6">
        <v>200</v>
      </c>
      <c r="E5" s="6">
        <v>500</v>
      </c>
      <c r="F5" s="6">
        <v>260</v>
      </c>
      <c r="G5" s="6">
        <v>3234</v>
      </c>
      <c r="H5" s="6">
        <v>800</v>
      </c>
      <c r="I5" s="6">
        <v>740</v>
      </c>
      <c r="J5" s="6">
        <v>200</v>
      </c>
      <c r="K5" s="6">
        <v>30</v>
      </c>
      <c r="L5" s="6"/>
      <c r="M5" s="7">
        <f aca="true" t="shared" si="0" ref="M5:M20">SUM(D5:L5)</f>
        <v>5964</v>
      </c>
      <c r="N5" s="66"/>
      <c r="O5" s="69"/>
      <c r="P5" s="74" t="s">
        <v>159</v>
      </c>
      <c r="Q5" s="90">
        <f>B5+B26</f>
        <v>212</v>
      </c>
      <c r="R5" s="7">
        <f aca="true" t="shared" si="1" ref="R5:R20">M5+R26</f>
        <v>8442</v>
      </c>
    </row>
    <row r="6" spans="1:18" ht="19.5" customHeight="1">
      <c r="A6" s="75"/>
      <c r="B6" s="91"/>
      <c r="C6" s="92"/>
      <c r="D6" s="9">
        <v>43</v>
      </c>
      <c r="E6" s="9">
        <v>89</v>
      </c>
      <c r="F6" s="9">
        <v>9</v>
      </c>
      <c r="G6" s="9">
        <v>656</v>
      </c>
      <c r="H6" s="9">
        <v>631</v>
      </c>
      <c r="I6" s="9">
        <v>274</v>
      </c>
      <c r="J6" s="9">
        <v>128</v>
      </c>
      <c r="K6" s="9">
        <v>24</v>
      </c>
      <c r="L6" s="9"/>
      <c r="M6" s="10">
        <f t="shared" si="0"/>
        <v>1854</v>
      </c>
      <c r="N6" s="66"/>
      <c r="O6" s="69"/>
      <c r="P6" s="75"/>
      <c r="Q6" s="91"/>
      <c r="R6" s="10">
        <f t="shared" si="1"/>
        <v>2387</v>
      </c>
    </row>
    <row r="7" spans="1:18" ht="19.5" customHeight="1">
      <c r="A7" s="74" t="s">
        <v>178</v>
      </c>
      <c r="B7" s="90">
        <f>58+3</f>
        <v>61</v>
      </c>
      <c r="C7" s="80">
        <v>2</v>
      </c>
      <c r="D7" s="6">
        <v>100</v>
      </c>
      <c r="E7" s="6">
        <v>300</v>
      </c>
      <c r="F7" s="6">
        <v>410</v>
      </c>
      <c r="G7" s="6">
        <v>5620</v>
      </c>
      <c r="H7" s="6">
        <v>1300</v>
      </c>
      <c r="I7" s="6">
        <v>570</v>
      </c>
      <c r="J7" s="6">
        <v>350</v>
      </c>
      <c r="K7" s="6">
        <v>280</v>
      </c>
      <c r="L7" s="6"/>
      <c r="M7" s="7">
        <f t="shared" si="0"/>
        <v>8930</v>
      </c>
      <c r="N7" s="66"/>
      <c r="O7" s="69"/>
      <c r="P7" s="74" t="s">
        <v>178</v>
      </c>
      <c r="Q7" s="90">
        <f>B7+B28</f>
        <v>325</v>
      </c>
      <c r="R7" s="7">
        <f t="shared" si="1"/>
        <v>13230</v>
      </c>
    </row>
    <row r="8" spans="1:18" ht="19.5" customHeight="1">
      <c r="A8" s="75"/>
      <c r="B8" s="91"/>
      <c r="C8" s="92"/>
      <c r="D8" s="9">
        <v>20</v>
      </c>
      <c r="E8" s="9">
        <v>0</v>
      </c>
      <c r="F8" s="9">
        <v>101</v>
      </c>
      <c r="G8" s="9">
        <v>681</v>
      </c>
      <c r="H8" s="9">
        <v>253</v>
      </c>
      <c r="I8" s="9">
        <v>103</v>
      </c>
      <c r="J8" s="9">
        <v>3</v>
      </c>
      <c r="K8" s="9">
        <v>23</v>
      </c>
      <c r="L8" s="9"/>
      <c r="M8" s="10">
        <f t="shared" si="0"/>
        <v>1184</v>
      </c>
      <c r="N8" s="66"/>
      <c r="O8" s="69"/>
      <c r="P8" s="75"/>
      <c r="Q8" s="91"/>
      <c r="R8" s="10">
        <f t="shared" si="1"/>
        <v>2481</v>
      </c>
    </row>
    <row r="9" spans="1:18" ht="19.5" customHeight="1">
      <c r="A9" s="74" t="s">
        <v>118</v>
      </c>
      <c r="B9" s="90">
        <f>6+5</f>
        <v>11</v>
      </c>
      <c r="C9" s="80">
        <v>2</v>
      </c>
      <c r="D9" s="6">
        <v>0</v>
      </c>
      <c r="E9" s="6">
        <v>0</v>
      </c>
      <c r="F9" s="6">
        <v>0</v>
      </c>
      <c r="G9" s="6">
        <v>480</v>
      </c>
      <c r="H9" s="6">
        <v>0</v>
      </c>
      <c r="I9" s="6">
        <v>0</v>
      </c>
      <c r="J9" s="6">
        <v>0</v>
      </c>
      <c r="K9" s="6">
        <v>130</v>
      </c>
      <c r="L9" s="6"/>
      <c r="M9" s="7">
        <f t="shared" si="0"/>
        <v>610</v>
      </c>
      <c r="N9" s="66"/>
      <c r="O9" s="69"/>
      <c r="P9" s="74" t="s">
        <v>118</v>
      </c>
      <c r="Q9" s="90">
        <f>B9+B30</f>
        <v>62</v>
      </c>
      <c r="R9" s="7">
        <f t="shared" si="1"/>
        <v>907</v>
      </c>
    </row>
    <row r="10" spans="1:18" ht="19.5" customHeight="1">
      <c r="A10" s="75"/>
      <c r="B10" s="91"/>
      <c r="C10" s="92"/>
      <c r="D10" s="9">
        <v>0</v>
      </c>
      <c r="E10" s="9">
        <v>0</v>
      </c>
      <c r="F10" s="9">
        <v>0</v>
      </c>
      <c r="G10" s="9">
        <v>19</v>
      </c>
      <c r="H10" s="9">
        <v>0</v>
      </c>
      <c r="I10" s="9">
        <v>0</v>
      </c>
      <c r="J10" s="9">
        <v>0</v>
      </c>
      <c r="K10" s="9">
        <v>57</v>
      </c>
      <c r="L10" s="9"/>
      <c r="M10" s="10">
        <f t="shared" si="0"/>
        <v>76</v>
      </c>
      <c r="N10" s="66"/>
      <c r="O10" s="69"/>
      <c r="P10" s="75"/>
      <c r="Q10" s="91"/>
      <c r="R10" s="10">
        <f t="shared" si="1"/>
        <v>197</v>
      </c>
    </row>
    <row r="11" spans="1:18" ht="19.5" customHeight="1">
      <c r="A11" s="74" t="s">
        <v>119</v>
      </c>
      <c r="B11" s="90">
        <f>20+0</f>
        <v>20</v>
      </c>
      <c r="C11" s="80">
        <v>3</v>
      </c>
      <c r="D11" s="6">
        <v>0</v>
      </c>
      <c r="E11" s="6">
        <v>0</v>
      </c>
      <c r="F11" s="6">
        <v>0</v>
      </c>
      <c r="G11" s="6">
        <v>1470</v>
      </c>
      <c r="H11" s="6">
        <v>0</v>
      </c>
      <c r="I11" s="6">
        <v>0</v>
      </c>
      <c r="J11" s="6">
        <v>0</v>
      </c>
      <c r="K11" s="6">
        <v>0</v>
      </c>
      <c r="L11" s="6"/>
      <c r="M11" s="7">
        <f t="shared" si="0"/>
        <v>1470</v>
      </c>
      <c r="N11" s="66"/>
      <c r="O11" s="69"/>
      <c r="P11" s="74" t="s">
        <v>119</v>
      </c>
      <c r="Q11" s="90">
        <f>B11+B32</f>
        <v>142</v>
      </c>
      <c r="R11" s="7">
        <f t="shared" si="1"/>
        <v>5173</v>
      </c>
    </row>
    <row r="12" spans="1:18" ht="19.5" customHeight="1">
      <c r="A12" s="75"/>
      <c r="B12" s="91"/>
      <c r="C12" s="92"/>
      <c r="D12" s="9">
        <v>0</v>
      </c>
      <c r="E12" s="9">
        <v>0</v>
      </c>
      <c r="F12" s="9">
        <v>0</v>
      </c>
      <c r="G12" s="9">
        <v>209</v>
      </c>
      <c r="H12" s="9">
        <v>0</v>
      </c>
      <c r="I12" s="9">
        <v>0</v>
      </c>
      <c r="J12" s="9">
        <v>0</v>
      </c>
      <c r="K12" s="9">
        <v>0</v>
      </c>
      <c r="L12" s="9"/>
      <c r="M12" s="10">
        <f t="shared" si="0"/>
        <v>209</v>
      </c>
      <c r="N12" s="66"/>
      <c r="O12" s="69"/>
      <c r="P12" s="75"/>
      <c r="Q12" s="91"/>
      <c r="R12" s="10">
        <f t="shared" si="1"/>
        <v>1005</v>
      </c>
    </row>
    <row r="13" spans="1:18" s="51" customFormat="1" ht="19.5" customHeight="1">
      <c r="A13" s="74" t="s">
        <v>101</v>
      </c>
      <c r="B13" s="93">
        <v>22</v>
      </c>
      <c r="C13" s="80">
        <v>3</v>
      </c>
      <c r="D13" s="6">
        <v>0</v>
      </c>
      <c r="E13" s="6">
        <v>0</v>
      </c>
      <c r="F13" s="6">
        <v>700</v>
      </c>
      <c r="G13" s="6">
        <v>700</v>
      </c>
      <c r="H13" s="6">
        <v>700</v>
      </c>
      <c r="I13" s="6">
        <v>650</v>
      </c>
      <c r="J13" s="6">
        <v>0</v>
      </c>
      <c r="K13" s="6">
        <v>20</v>
      </c>
      <c r="L13" s="6"/>
      <c r="M13" s="7">
        <f t="shared" si="0"/>
        <v>2770</v>
      </c>
      <c r="N13" s="67"/>
      <c r="O13" s="70"/>
      <c r="P13" s="74" t="s">
        <v>101</v>
      </c>
      <c r="Q13" s="90">
        <f>B13+B34</f>
        <v>308</v>
      </c>
      <c r="R13" s="7">
        <f t="shared" si="1"/>
        <v>6359</v>
      </c>
    </row>
    <row r="14" spans="1:18" s="51" customFormat="1" ht="19.5" customHeight="1">
      <c r="A14" s="75"/>
      <c r="B14" s="94"/>
      <c r="C14" s="92"/>
      <c r="D14" s="9">
        <v>0</v>
      </c>
      <c r="E14" s="9">
        <v>0</v>
      </c>
      <c r="F14" s="9">
        <v>121</v>
      </c>
      <c r="G14" s="9">
        <v>135</v>
      </c>
      <c r="H14" s="9">
        <v>49</v>
      </c>
      <c r="I14" s="9">
        <v>7</v>
      </c>
      <c r="J14" s="9">
        <v>0</v>
      </c>
      <c r="K14" s="9">
        <v>9</v>
      </c>
      <c r="L14" s="9"/>
      <c r="M14" s="10">
        <f t="shared" si="0"/>
        <v>321</v>
      </c>
      <c r="N14" s="67"/>
      <c r="O14" s="70"/>
      <c r="P14" s="75"/>
      <c r="Q14" s="91"/>
      <c r="R14" s="10">
        <f t="shared" si="1"/>
        <v>1582</v>
      </c>
    </row>
    <row r="15" spans="1:18" ht="19.5" customHeight="1">
      <c r="A15" s="74" t="s">
        <v>102</v>
      </c>
      <c r="B15" s="90">
        <v>17</v>
      </c>
      <c r="C15" s="80">
        <v>5</v>
      </c>
      <c r="D15" s="6">
        <v>30</v>
      </c>
      <c r="E15" s="6">
        <v>0</v>
      </c>
      <c r="F15" s="6">
        <v>50</v>
      </c>
      <c r="G15" s="6">
        <v>480</v>
      </c>
      <c r="H15" s="6">
        <v>0</v>
      </c>
      <c r="I15" s="6">
        <v>0</v>
      </c>
      <c r="J15" s="6">
        <v>0</v>
      </c>
      <c r="K15" s="6">
        <v>0</v>
      </c>
      <c r="L15" s="6"/>
      <c r="M15" s="7">
        <f t="shared" si="0"/>
        <v>560</v>
      </c>
      <c r="P15" s="74" t="s">
        <v>102</v>
      </c>
      <c r="Q15" s="90">
        <f>B15+B36</f>
        <v>195</v>
      </c>
      <c r="R15" s="7">
        <f t="shared" si="1"/>
        <v>3636</v>
      </c>
    </row>
    <row r="16" spans="1:18" ht="19.5" customHeight="1">
      <c r="A16" s="75"/>
      <c r="B16" s="91"/>
      <c r="C16" s="92"/>
      <c r="D16" s="9">
        <v>0</v>
      </c>
      <c r="E16" s="9">
        <v>0</v>
      </c>
      <c r="F16" s="9">
        <v>0</v>
      </c>
      <c r="G16" s="9">
        <v>7</v>
      </c>
      <c r="H16" s="9">
        <v>0</v>
      </c>
      <c r="I16" s="9">
        <v>0</v>
      </c>
      <c r="J16" s="9">
        <v>0</v>
      </c>
      <c r="K16" s="9">
        <v>0</v>
      </c>
      <c r="L16" s="9"/>
      <c r="M16" s="10">
        <f t="shared" si="0"/>
        <v>7</v>
      </c>
      <c r="P16" s="75"/>
      <c r="Q16" s="91"/>
      <c r="R16" s="10">
        <f t="shared" si="1"/>
        <v>807</v>
      </c>
    </row>
    <row r="17" spans="1:18" ht="19.5" customHeight="1">
      <c r="A17" s="74" t="s">
        <v>120</v>
      </c>
      <c r="B17" s="90">
        <f>74+8</f>
        <v>82</v>
      </c>
      <c r="C17" s="80">
        <v>9</v>
      </c>
      <c r="D17" s="6">
        <v>550</v>
      </c>
      <c r="E17" s="6">
        <v>50</v>
      </c>
      <c r="F17" s="6">
        <v>300</v>
      </c>
      <c r="G17" s="6">
        <v>7053</v>
      </c>
      <c r="H17" s="6">
        <v>3250</v>
      </c>
      <c r="I17" s="6">
        <v>1190</v>
      </c>
      <c r="J17" s="6">
        <v>200</v>
      </c>
      <c r="K17" s="6">
        <v>240</v>
      </c>
      <c r="L17" s="6"/>
      <c r="M17" s="7">
        <f t="shared" si="0"/>
        <v>12833</v>
      </c>
      <c r="P17" s="74" t="s">
        <v>120</v>
      </c>
      <c r="Q17" s="90">
        <f>B17+B38</f>
        <v>198</v>
      </c>
      <c r="R17" s="7">
        <f t="shared" si="1"/>
        <v>16701</v>
      </c>
    </row>
    <row r="18" spans="1:18" ht="19.5" customHeight="1">
      <c r="A18" s="75"/>
      <c r="B18" s="91"/>
      <c r="C18" s="92"/>
      <c r="D18" s="9">
        <v>254</v>
      </c>
      <c r="E18" s="9">
        <v>0</v>
      </c>
      <c r="F18" s="9">
        <v>52</v>
      </c>
      <c r="G18" s="9">
        <v>1733</v>
      </c>
      <c r="H18" s="9">
        <v>648</v>
      </c>
      <c r="I18" s="9">
        <v>404</v>
      </c>
      <c r="J18" s="9">
        <v>0</v>
      </c>
      <c r="K18" s="9">
        <v>0</v>
      </c>
      <c r="L18" s="9"/>
      <c r="M18" s="10">
        <f t="shared" si="0"/>
        <v>3091</v>
      </c>
      <c r="P18" s="75"/>
      <c r="Q18" s="91"/>
      <c r="R18" s="10">
        <f t="shared" si="1"/>
        <v>4308</v>
      </c>
    </row>
    <row r="19" spans="1:18" ht="19.5" customHeight="1">
      <c r="A19" s="74" t="s">
        <v>121</v>
      </c>
      <c r="B19" s="76">
        <f>SUM(B5:B18)</f>
        <v>265</v>
      </c>
      <c r="C19" s="76">
        <f>SUM(C5:C18)</f>
        <v>30</v>
      </c>
      <c r="D19" s="7">
        <f>D5+D7+D9+D11+D13+D15+D17</f>
        <v>880</v>
      </c>
      <c r="E19" s="7">
        <f aca="true" t="shared" si="2" ref="E19:K20">E5+E7+E9+E11+E13+E15+E17</f>
        <v>850</v>
      </c>
      <c r="F19" s="7">
        <f t="shared" si="2"/>
        <v>1720</v>
      </c>
      <c r="G19" s="7">
        <f t="shared" si="2"/>
        <v>19037</v>
      </c>
      <c r="H19" s="7">
        <f t="shared" si="2"/>
        <v>6050</v>
      </c>
      <c r="I19" s="7">
        <f t="shared" si="2"/>
        <v>3150</v>
      </c>
      <c r="J19" s="7">
        <f t="shared" si="2"/>
        <v>750</v>
      </c>
      <c r="K19" s="7">
        <f t="shared" si="2"/>
        <v>700</v>
      </c>
      <c r="L19" s="7"/>
      <c r="M19" s="7">
        <f t="shared" si="0"/>
        <v>33137</v>
      </c>
      <c r="P19" s="74" t="s">
        <v>121</v>
      </c>
      <c r="Q19" s="76">
        <f>B19+B40</f>
        <v>1442</v>
      </c>
      <c r="R19" s="7">
        <f t="shared" si="1"/>
        <v>54448</v>
      </c>
    </row>
    <row r="20" spans="1:18" ht="19.5" customHeight="1">
      <c r="A20" s="75"/>
      <c r="B20" s="77"/>
      <c r="C20" s="77"/>
      <c r="D20" s="8">
        <f>D6+D8+D10+D12+D14+D16+D18</f>
        <v>317</v>
      </c>
      <c r="E20" s="8">
        <f t="shared" si="2"/>
        <v>89</v>
      </c>
      <c r="F20" s="8">
        <f t="shared" si="2"/>
        <v>283</v>
      </c>
      <c r="G20" s="8">
        <f t="shared" si="2"/>
        <v>3440</v>
      </c>
      <c r="H20" s="8">
        <f t="shared" si="2"/>
        <v>1581</v>
      </c>
      <c r="I20" s="8">
        <f t="shared" si="2"/>
        <v>788</v>
      </c>
      <c r="J20" s="8">
        <f t="shared" si="2"/>
        <v>131</v>
      </c>
      <c r="K20" s="8">
        <f t="shared" si="2"/>
        <v>113</v>
      </c>
      <c r="L20" s="8"/>
      <c r="M20" s="8">
        <f t="shared" si="0"/>
        <v>6742</v>
      </c>
      <c r="P20" s="75"/>
      <c r="Q20" s="77"/>
      <c r="R20" s="8">
        <f t="shared" si="1"/>
        <v>12767</v>
      </c>
    </row>
    <row r="21" spans="1:17" ht="19.5" customHeight="1">
      <c r="A21" s="13"/>
      <c r="B21" s="14"/>
      <c r="C21" s="4"/>
      <c r="D21" s="15"/>
      <c r="E21" s="15"/>
      <c r="F21" s="32"/>
      <c r="G21" s="15"/>
      <c r="H21" s="15"/>
      <c r="I21" s="15"/>
      <c r="J21" s="32"/>
      <c r="K21" s="32"/>
      <c r="L21" s="15"/>
      <c r="M21" s="15"/>
      <c r="N21" s="2"/>
      <c r="O21" s="2"/>
      <c r="P21" s="2"/>
      <c r="Q21" s="2"/>
    </row>
    <row r="22" spans="1:17" ht="19.5" customHeight="1">
      <c r="A22" s="13"/>
      <c r="B22" s="14"/>
      <c r="C22" s="4"/>
      <c r="D22" s="15"/>
      <c r="E22" s="15"/>
      <c r="F22" s="32"/>
      <c r="G22" s="15"/>
      <c r="H22" s="15"/>
      <c r="I22" s="15"/>
      <c r="J22" s="32"/>
      <c r="K22" s="32"/>
      <c r="L22" s="15"/>
      <c r="M22" s="15"/>
      <c r="N22" s="2"/>
      <c r="O22" s="2"/>
      <c r="P22" s="2"/>
      <c r="Q22" s="2"/>
    </row>
    <row r="23" spans="1:17" ht="19.5" customHeight="1">
      <c r="A23" s="11" t="s">
        <v>122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9.5" customHeight="1">
      <c r="A24" s="83" t="s">
        <v>179</v>
      </c>
      <c r="B24" s="85" t="s">
        <v>106</v>
      </c>
      <c r="C24" s="3" t="s">
        <v>107</v>
      </c>
      <c r="D24" s="87" t="s">
        <v>108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</row>
    <row r="25" spans="1:18" ht="19.5" customHeight="1">
      <c r="A25" s="84"/>
      <c r="B25" s="86"/>
      <c r="C25" s="5" t="s">
        <v>109</v>
      </c>
      <c r="D25" s="5" t="s">
        <v>11</v>
      </c>
      <c r="E25" s="5" t="s">
        <v>13</v>
      </c>
      <c r="F25" s="5" t="s">
        <v>12</v>
      </c>
      <c r="G25" s="5" t="s">
        <v>164</v>
      </c>
      <c r="H25" s="5" t="s">
        <v>14</v>
      </c>
      <c r="I25" s="5" t="s">
        <v>15</v>
      </c>
      <c r="J25" s="5" t="s">
        <v>16</v>
      </c>
      <c r="K25" s="5" t="s">
        <v>130</v>
      </c>
      <c r="L25" s="54" t="s">
        <v>95</v>
      </c>
      <c r="M25" s="54" t="s">
        <v>65</v>
      </c>
      <c r="N25" s="54" t="s">
        <v>86</v>
      </c>
      <c r="O25" s="5" t="s">
        <v>133</v>
      </c>
      <c r="P25" s="5" t="s">
        <v>151</v>
      </c>
      <c r="Q25" s="5" t="s">
        <v>185</v>
      </c>
      <c r="R25" s="12" t="s">
        <v>115</v>
      </c>
    </row>
    <row r="26" spans="1:18" ht="19.5" customHeight="1">
      <c r="A26" s="74" t="s">
        <v>159</v>
      </c>
      <c r="B26" s="76">
        <f>153+5+2</f>
        <v>160</v>
      </c>
      <c r="C26" s="80">
        <v>5</v>
      </c>
      <c r="D26" s="6">
        <f>34+4</f>
        <v>38</v>
      </c>
      <c r="E26" s="6">
        <v>0</v>
      </c>
      <c r="F26" s="6">
        <v>51</v>
      </c>
      <c r="G26" s="6">
        <v>0</v>
      </c>
      <c r="H26" s="78">
        <f>632+180</f>
        <v>812</v>
      </c>
      <c r="I26" s="79"/>
      <c r="J26" s="6">
        <v>27</v>
      </c>
      <c r="K26" s="6">
        <v>0</v>
      </c>
      <c r="L26" s="6">
        <v>1080</v>
      </c>
      <c r="M26" s="6">
        <v>230</v>
      </c>
      <c r="N26" s="6">
        <v>200</v>
      </c>
      <c r="O26" s="6">
        <v>40</v>
      </c>
      <c r="P26" s="6">
        <v>0</v>
      </c>
      <c r="Q26" s="6">
        <v>0</v>
      </c>
      <c r="R26" s="7">
        <f aca="true" t="shared" si="3" ref="R26:R41">SUM(D26:Q26)</f>
        <v>2478</v>
      </c>
    </row>
    <row r="27" spans="1:18" ht="19.5" customHeight="1">
      <c r="A27" s="75"/>
      <c r="B27" s="77"/>
      <c r="C27" s="81"/>
      <c r="D27" s="9">
        <v>12</v>
      </c>
      <c r="E27" s="9">
        <v>0</v>
      </c>
      <c r="F27" s="9">
        <v>24</v>
      </c>
      <c r="G27" s="9">
        <v>0</v>
      </c>
      <c r="H27" s="9">
        <f>44+37</f>
        <v>81</v>
      </c>
      <c r="I27" s="46">
        <f>43+74</f>
        <v>117</v>
      </c>
      <c r="J27" s="9">
        <v>1</v>
      </c>
      <c r="K27" s="9">
        <v>0</v>
      </c>
      <c r="L27" s="9">
        <v>166</v>
      </c>
      <c r="M27" s="9">
        <v>59</v>
      </c>
      <c r="N27" s="9">
        <v>65</v>
      </c>
      <c r="O27" s="9">
        <v>8</v>
      </c>
      <c r="P27" s="9">
        <v>0</v>
      </c>
      <c r="Q27" s="9">
        <v>0</v>
      </c>
      <c r="R27" s="8">
        <f t="shared" si="3"/>
        <v>533</v>
      </c>
    </row>
    <row r="28" spans="1:18" ht="19.5" customHeight="1">
      <c r="A28" s="74" t="s">
        <v>178</v>
      </c>
      <c r="B28" s="76">
        <f>251+13</f>
        <v>264</v>
      </c>
      <c r="C28" s="80">
        <v>2</v>
      </c>
      <c r="D28" s="6">
        <v>45</v>
      </c>
      <c r="E28" s="6">
        <v>140</v>
      </c>
      <c r="F28" s="6">
        <v>485</v>
      </c>
      <c r="G28" s="6">
        <v>0</v>
      </c>
      <c r="H28" s="78">
        <v>150</v>
      </c>
      <c r="I28" s="79"/>
      <c r="J28" s="6">
        <v>330</v>
      </c>
      <c r="K28" s="6">
        <v>125</v>
      </c>
      <c r="L28" s="6">
        <v>1161</v>
      </c>
      <c r="M28" s="6">
        <v>1109</v>
      </c>
      <c r="N28" s="6">
        <v>78</v>
      </c>
      <c r="O28" s="6">
        <v>667</v>
      </c>
      <c r="P28" s="6">
        <v>0</v>
      </c>
      <c r="Q28" s="6">
        <v>10</v>
      </c>
      <c r="R28" s="7">
        <f t="shared" si="3"/>
        <v>4300</v>
      </c>
    </row>
    <row r="29" spans="1:18" ht="19.5" customHeight="1">
      <c r="A29" s="75"/>
      <c r="B29" s="77"/>
      <c r="C29" s="81"/>
      <c r="D29" s="9">
        <v>36</v>
      </c>
      <c r="E29" s="9">
        <v>0</v>
      </c>
      <c r="F29" s="9">
        <v>167</v>
      </c>
      <c r="G29" s="9">
        <v>0</v>
      </c>
      <c r="H29" s="9">
        <v>9</v>
      </c>
      <c r="I29" s="46">
        <v>6</v>
      </c>
      <c r="J29" s="9">
        <v>38</v>
      </c>
      <c r="K29" s="9">
        <v>34</v>
      </c>
      <c r="L29" s="9">
        <v>605</v>
      </c>
      <c r="M29" s="9">
        <v>269</v>
      </c>
      <c r="N29" s="9">
        <v>22</v>
      </c>
      <c r="O29" s="9">
        <v>111</v>
      </c>
      <c r="P29" s="9">
        <v>0</v>
      </c>
      <c r="Q29" s="9">
        <v>0</v>
      </c>
      <c r="R29" s="8">
        <f t="shared" si="3"/>
        <v>1297</v>
      </c>
    </row>
    <row r="30" spans="1:18" s="51" customFormat="1" ht="19.5" customHeight="1">
      <c r="A30" s="74" t="s">
        <v>118</v>
      </c>
      <c r="B30" s="76">
        <v>51</v>
      </c>
      <c r="C30" s="80">
        <v>3</v>
      </c>
      <c r="D30" s="6">
        <v>9</v>
      </c>
      <c r="E30" s="6">
        <v>0</v>
      </c>
      <c r="F30" s="6">
        <v>5</v>
      </c>
      <c r="G30" s="6">
        <v>0</v>
      </c>
      <c r="H30" s="78">
        <v>96</v>
      </c>
      <c r="I30" s="79"/>
      <c r="J30" s="6">
        <v>35</v>
      </c>
      <c r="K30" s="6">
        <v>0</v>
      </c>
      <c r="L30" s="6">
        <v>119</v>
      </c>
      <c r="M30" s="6">
        <v>33</v>
      </c>
      <c r="N30" s="6">
        <v>0</v>
      </c>
      <c r="O30" s="6">
        <v>0</v>
      </c>
      <c r="P30" s="6">
        <v>0</v>
      </c>
      <c r="Q30" s="6">
        <v>0</v>
      </c>
      <c r="R30" s="7">
        <f>SUM(D30:Q30)</f>
        <v>297</v>
      </c>
    </row>
    <row r="31" spans="1:18" s="51" customFormat="1" ht="19.5" customHeight="1">
      <c r="A31" s="75"/>
      <c r="B31" s="77"/>
      <c r="C31" s="81"/>
      <c r="D31" s="9">
        <v>2</v>
      </c>
      <c r="E31" s="9">
        <v>0</v>
      </c>
      <c r="F31" s="9">
        <v>3</v>
      </c>
      <c r="G31" s="9">
        <v>0</v>
      </c>
      <c r="H31" s="9">
        <v>22</v>
      </c>
      <c r="I31" s="46">
        <v>16</v>
      </c>
      <c r="J31" s="9">
        <v>12</v>
      </c>
      <c r="K31" s="9">
        <v>0</v>
      </c>
      <c r="L31" s="9">
        <v>56</v>
      </c>
      <c r="M31" s="9">
        <v>10</v>
      </c>
      <c r="N31" s="9">
        <v>0</v>
      </c>
      <c r="O31" s="9">
        <v>0</v>
      </c>
      <c r="P31" s="9">
        <v>0</v>
      </c>
      <c r="Q31" s="9">
        <v>0</v>
      </c>
      <c r="R31" s="8">
        <f t="shared" si="3"/>
        <v>121</v>
      </c>
    </row>
    <row r="32" spans="1:18" ht="19.5" customHeight="1">
      <c r="A32" s="74" t="s">
        <v>119</v>
      </c>
      <c r="B32" s="76">
        <v>122</v>
      </c>
      <c r="C32" s="80">
        <v>4</v>
      </c>
      <c r="D32" s="6">
        <v>20</v>
      </c>
      <c r="E32" s="6">
        <v>30</v>
      </c>
      <c r="F32" s="6">
        <v>325</v>
      </c>
      <c r="G32" s="6">
        <v>0</v>
      </c>
      <c r="H32" s="78">
        <v>1065</v>
      </c>
      <c r="I32" s="79"/>
      <c r="J32" s="6">
        <v>52</v>
      </c>
      <c r="K32" s="6">
        <v>0</v>
      </c>
      <c r="L32" s="6">
        <v>1055</v>
      </c>
      <c r="M32" s="6">
        <v>860</v>
      </c>
      <c r="N32" s="6">
        <v>0</v>
      </c>
      <c r="O32" s="6">
        <v>296</v>
      </c>
      <c r="P32" s="6">
        <v>0</v>
      </c>
      <c r="Q32" s="6">
        <v>0</v>
      </c>
      <c r="R32" s="7">
        <f t="shared" si="3"/>
        <v>3703</v>
      </c>
    </row>
    <row r="33" spans="1:18" ht="19.5" customHeight="1">
      <c r="A33" s="75"/>
      <c r="B33" s="77"/>
      <c r="C33" s="81"/>
      <c r="D33" s="9">
        <v>3</v>
      </c>
      <c r="E33" s="9">
        <v>0</v>
      </c>
      <c r="F33" s="9">
        <v>28</v>
      </c>
      <c r="G33" s="9">
        <v>0</v>
      </c>
      <c r="H33" s="9">
        <v>140</v>
      </c>
      <c r="I33" s="46">
        <v>70</v>
      </c>
      <c r="J33" s="9">
        <v>19</v>
      </c>
      <c r="K33" s="9">
        <v>0</v>
      </c>
      <c r="L33" s="9">
        <v>284</v>
      </c>
      <c r="M33" s="9">
        <v>251</v>
      </c>
      <c r="N33" s="9">
        <v>0</v>
      </c>
      <c r="O33" s="9">
        <v>1</v>
      </c>
      <c r="P33" s="9">
        <v>0</v>
      </c>
      <c r="Q33" s="9">
        <v>0</v>
      </c>
      <c r="R33" s="8">
        <f t="shared" si="3"/>
        <v>796</v>
      </c>
    </row>
    <row r="34" spans="1:18" s="51" customFormat="1" ht="19.5" customHeight="1">
      <c r="A34" s="74" t="s">
        <v>101</v>
      </c>
      <c r="B34" s="76">
        <v>286</v>
      </c>
      <c r="C34" s="80">
        <v>6</v>
      </c>
      <c r="D34" s="6">
        <f>76+1</f>
        <v>77</v>
      </c>
      <c r="E34" s="6">
        <v>0</v>
      </c>
      <c r="F34" s="6">
        <v>60</v>
      </c>
      <c r="G34" s="6">
        <v>0</v>
      </c>
      <c r="H34" s="78">
        <v>105</v>
      </c>
      <c r="I34" s="79"/>
      <c r="J34" s="6">
        <f>844+30</f>
        <v>874</v>
      </c>
      <c r="K34" s="6">
        <v>0</v>
      </c>
      <c r="L34" s="6">
        <v>2316</v>
      </c>
      <c r="M34" s="6">
        <v>87</v>
      </c>
      <c r="N34" s="6">
        <v>0</v>
      </c>
      <c r="O34" s="6">
        <v>50</v>
      </c>
      <c r="P34" s="6">
        <v>20</v>
      </c>
      <c r="Q34" s="6">
        <v>0</v>
      </c>
      <c r="R34" s="7">
        <f t="shared" si="3"/>
        <v>3589</v>
      </c>
    </row>
    <row r="35" spans="1:18" s="51" customFormat="1" ht="19.5" customHeight="1">
      <c r="A35" s="75"/>
      <c r="B35" s="77"/>
      <c r="C35" s="81"/>
      <c r="D35" s="9">
        <f>60+1</f>
        <v>61</v>
      </c>
      <c r="E35" s="9">
        <v>0</v>
      </c>
      <c r="F35" s="9">
        <v>11</v>
      </c>
      <c r="G35" s="9">
        <v>0</v>
      </c>
      <c r="H35" s="9">
        <v>9</v>
      </c>
      <c r="I35" s="46">
        <v>12</v>
      </c>
      <c r="J35" s="9">
        <f>128+26</f>
        <v>154</v>
      </c>
      <c r="K35" s="9">
        <v>0</v>
      </c>
      <c r="L35" s="9">
        <v>950</v>
      </c>
      <c r="M35" s="9">
        <v>41</v>
      </c>
      <c r="N35" s="9">
        <v>0</v>
      </c>
      <c r="O35" s="9">
        <v>2</v>
      </c>
      <c r="P35" s="9">
        <v>21</v>
      </c>
      <c r="Q35" s="9">
        <v>0</v>
      </c>
      <c r="R35" s="8">
        <f t="shared" si="3"/>
        <v>1261</v>
      </c>
    </row>
    <row r="36" spans="1:18" ht="19.5" customHeight="1">
      <c r="A36" s="74" t="s">
        <v>102</v>
      </c>
      <c r="B36" s="101">
        <f>175+3</f>
        <v>178</v>
      </c>
      <c r="C36" s="80">
        <v>5</v>
      </c>
      <c r="D36" s="6">
        <f>38+227</f>
        <v>265</v>
      </c>
      <c r="E36" s="6">
        <v>1</v>
      </c>
      <c r="F36" s="6">
        <v>0</v>
      </c>
      <c r="G36" s="6">
        <v>0</v>
      </c>
      <c r="H36" s="78">
        <v>616</v>
      </c>
      <c r="I36" s="82"/>
      <c r="J36" s="6">
        <f>455+80</f>
        <v>535</v>
      </c>
      <c r="K36" s="6">
        <v>5</v>
      </c>
      <c r="L36" s="6">
        <v>1246</v>
      </c>
      <c r="M36" s="6">
        <v>393</v>
      </c>
      <c r="N36" s="6">
        <v>0</v>
      </c>
      <c r="O36" s="6">
        <v>0</v>
      </c>
      <c r="P36" s="6">
        <v>15</v>
      </c>
      <c r="Q36" s="6">
        <v>0</v>
      </c>
      <c r="R36" s="7">
        <f t="shared" si="3"/>
        <v>3076</v>
      </c>
    </row>
    <row r="37" spans="1:18" ht="19.5" customHeight="1">
      <c r="A37" s="75"/>
      <c r="B37" s="102"/>
      <c r="C37" s="81"/>
      <c r="D37" s="9">
        <f>15+114</f>
        <v>129</v>
      </c>
      <c r="E37" s="9">
        <v>1</v>
      </c>
      <c r="F37" s="9">
        <v>0</v>
      </c>
      <c r="G37" s="9">
        <v>0</v>
      </c>
      <c r="H37" s="9">
        <f>45+4</f>
        <v>49</v>
      </c>
      <c r="I37" s="46">
        <f>98+55</f>
        <v>153</v>
      </c>
      <c r="J37" s="9">
        <f>125+34</f>
        <v>159</v>
      </c>
      <c r="K37" s="9">
        <v>0</v>
      </c>
      <c r="L37" s="9">
        <v>267</v>
      </c>
      <c r="M37" s="9">
        <v>27</v>
      </c>
      <c r="N37" s="9">
        <v>0</v>
      </c>
      <c r="O37" s="9">
        <v>0</v>
      </c>
      <c r="P37" s="9">
        <v>15</v>
      </c>
      <c r="Q37" s="9">
        <v>0</v>
      </c>
      <c r="R37" s="8">
        <f t="shared" si="3"/>
        <v>800</v>
      </c>
    </row>
    <row r="38" spans="1:18" ht="19.5" customHeight="1">
      <c r="A38" s="74" t="s">
        <v>120</v>
      </c>
      <c r="B38" s="76">
        <f>111+5</f>
        <v>116</v>
      </c>
      <c r="C38" s="80">
        <v>3</v>
      </c>
      <c r="D38" s="6">
        <f>22+2</f>
        <v>24</v>
      </c>
      <c r="E38" s="6">
        <v>27</v>
      </c>
      <c r="F38" s="6">
        <v>58</v>
      </c>
      <c r="G38" s="6">
        <v>0</v>
      </c>
      <c r="H38" s="78">
        <v>906</v>
      </c>
      <c r="I38" s="79"/>
      <c r="J38" s="6">
        <v>657</v>
      </c>
      <c r="K38" s="6">
        <v>0</v>
      </c>
      <c r="L38" s="6">
        <v>1964</v>
      </c>
      <c r="M38" s="6">
        <v>82</v>
      </c>
      <c r="N38" s="6">
        <v>150</v>
      </c>
      <c r="O38" s="6">
        <v>0</v>
      </c>
      <c r="P38" s="6">
        <v>0</v>
      </c>
      <c r="Q38" s="6">
        <v>0</v>
      </c>
      <c r="R38" s="7">
        <f t="shared" si="3"/>
        <v>3868</v>
      </c>
    </row>
    <row r="39" spans="1:18" ht="19.5" customHeight="1">
      <c r="A39" s="75"/>
      <c r="B39" s="77"/>
      <c r="C39" s="81"/>
      <c r="D39" s="9">
        <v>8</v>
      </c>
      <c r="E39" s="9">
        <v>5</v>
      </c>
      <c r="F39" s="9">
        <v>22</v>
      </c>
      <c r="G39" s="9">
        <v>0</v>
      </c>
      <c r="H39" s="9">
        <v>82</v>
      </c>
      <c r="I39" s="46">
        <v>84</v>
      </c>
      <c r="J39" s="9">
        <v>87</v>
      </c>
      <c r="K39" s="9">
        <v>0</v>
      </c>
      <c r="L39" s="9">
        <v>837</v>
      </c>
      <c r="M39" s="9">
        <v>31</v>
      </c>
      <c r="N39" s="9">
        <v>61</v>
      </c>
      <c r="O39" s="9">
        <v>0</v>
      </c>
      <c r="P39" s="9">
        <v>0</v>
      </c>
      <c r="Q39" s="9">
        <v>0</v>
      </c>
      <c r="R39" s="8">
        <f t="shared" si="3"/>
        <v>1217</v>
      </c>
    </row>
    <row r="40" spans="1:18" ht="19.5" customHeight="1">
      <c r="A40" s="74" t="s">
        <v>136</v>
      </c>
      <c r="B40" s="76">
        <f>SUM(B26:B39)</f>
        <v>1177</v>
      </c>
      <c r="C40" s="76">
        <f>SUM(C26:C39)</f>
        <v>28</v>
      </c>
      <c r="D40" s="7">
        <f>D26+D28+D30+D32+D34+D36+D38</f>
        <v>478</v>
      </c>
      <c r="E40" s="7">
        <f>E26+E28+E30+E32+E34+E36+E38</f>
        <v>198</v>
      </c>
      <c r="F40" s="7">
        <f>F26+F28+F30+F32+F34+F36+F38</f>
        <v>984</v>
      </c>
      <c r="G40" s="7">
        <f>G26+G28+G30+G32+G34+G36+G38</f>
        <v>0</v>
      </c>
      <c r="H40" s="78">
        <f>H26+H28+H30+H32+H34+H36+H38</f>
        <v>3750</v>
      </c>
      <c r="I40" s="79"/>
      <c r="J40" s="7">
        <f aca="true" t="shared" si="4" ref="E40:Q41">J26+J28+J30+J32+J34+J36+J38</f>
        <v>2510</v>
      </c>
      <c r="K40" s="7">
        <f t="shared" si="4"/>
        <v>130</v>
      </c>
      <c r="L40" s="7">
        <f t="shared" si="4"/>
        <v>8941</v>
      </c>
      <c r="M40" s="7">
        <f t="shared" si="4"/>
        <v>2794</v>
      </c>
      <c r="N40" s="7">
        <f t="shared" si="4"/>
        <v>428</v>
      </c>
      <c r="O40" s="7">
        <f>O26+O28+O30+O32+O34+O36+O38</f>
        <v>1053</v>
      </c>
      <c r="P40" s="7">
        <f t="shared" si="4"/>
        <v>35</v>
      </c>
      <c r="Q40" s="7">
        <f t="shared" si="4"/>
        <v>10</v>
      </c>
      <c r="R40" s="7">
        <f t="shared" si="3"/>
        <v>21311</v>
      </c>
    </row>
    <row r="41" spans="1:18" ht="19.5" customHeight="1">
      <c r="A41" s="75"/>
      <c r="B41" s="77"/>
      <c r="C41" s="77"/>
      <c r="D41" s="8">
        <f>D27+D29+D31+D33+D35+D37+D39</f>
        <v>251</v>
      </c>
      <c r="E41" s="8">
        <f t="shared" si="4"/>
        <v>6</v>
      </c>
      <c r="F41" s="8">
        <f t="shared" si="4"/>
        <v>255</v>
      </c>
      <c r="G41" s="8">
        <f t="shared" si="4"/>
        <v>0</v>
      </c>
      <c r="H41" s="8">
        <f t="shared" si="4"/>
        <v>392</v>
      </c>
      <c r="I41" s="8">
        <f t="shared" si="4"/>
        <v>458</v>
      </c>
      <c r="J41" s="8">
        <f t="shared" si="4"/>
        <v>470</v>
      </c>
      <c r="K41" s="8">
        <f t="shared" si="4"/>
        <v>34</v>
      </c>
      <c r="L41" s="8">
        <f t="shared" si="4"/>
        <v>3165</v>
      </c>
      <c r="M41" s="8">
        <f t="shared" si="4"/>
        <v>688</v>
      </c>
      <c r="N41" s="8">
        <f t="shared" si="4"/>
        <v>148</v>
      </c>
      <c r="O41" s="8">
        <f>O27+O29+O31+O33+O35+O37+O39</f>
        <v>122</v>
      </c>
      <c r="P41" s="8">
        <f t="shared" si="4"/>
        <v>36</v>
      </c>
      <c r="Q41" s="8">
        <f t="shared" si="4"/>
        <v>0</v>
      </c>
      <c r="R41" s="8">
        <f t="shared" si="3"/>
        <v>6025</v>
      </c>
    </row>
    <row r="42" ht="13.5">
      <c r="A42" t="s">
        <v>189</v>
      </c>
    </row>
  </sheetData>
  <sheetProtection/>
  <mergeCells count="81">
    <mergeCell ref="D3:M3"/>
    <mergeCell ref="P3:P4"/>
    <mergeCell ref="Q3:Q4"/>
    <mergeCell ref="A5:A6"/>
    <mergeCell ref="B5:B6"/>
    <mergeCell ref="C5:C6"/>
    <mergeCell ref="P5:P6"/>
    <mergeCell ref="Q5:Q6"/>
    <mergeCell ref="A3:A4"/>
    <mergeCell ref="B3:B4"/>
    <mergeCell ref="C3:C4"/>
    <mergeCell ref="Q7:Q8"/>
    <mergeCell ref="A9:A10"/>
    <mergeCell ref="B9:B10"/>
    <mergeCell ref="C9:C10"/>
    <mergeCell ref="P9:P10"/>
    <mergeCell ref="Q9:Q10"/>
    <mergeCell ref="A7:A8"/>
    <mergeCell ref="B7:B8"/>
    <mergeCell ref="C7:C8"/>
    <mergeCell ref="P7:P8"/>
    <mergeCell ref="Q11:Q12"/>
    <mergeCell ref="A13:A14"/>
    <mergeCell ref="B13:B14"/>
    <mergeCell ref="C13:C14"/>
    <mergeCell ref="P13:P14"/>
    <mergeCell ref="Q13:Q14"/>
    <mergeCell ref="A11:A12"/>
    <mergeCell ref="B11:B12"/>
    <mergeCell ref="C11:C12"/>
    <mergeCell ref="P11:P12"/>
    <mergeCell ref="Q15:Q16"/>
    <mergeCell ref="A17:A18"/>
    <mergeCell ref="B17:B18"/>
    <mergeCell ref="C17:C18"/>
    <mergeCell ref="P17:P18"/>
    <mergeCell ref="Q17:Q18"/>
    <mergeCell ref="A15:A16"/>
    <mergeCell ref="B15:B16"/>
    <mergeCell ref="C15:C16"/>
    <mergeCell ref="P15:P16"/>
    <mergeCell ref="Q19:Q20"/>
    <mergeCell ref="A24:A25"/>
    <mergeCell ref="B24:B25"/>
    <mergeCell ref="D24:R24"/>
    <mergeCell ref="A19:A20"/>
    <mergeCell ref="B19:B20"/>
    <mergeCell ref="C19:C20"/>
    <mergeCell ref="P19:P20"/>
    <mergeCell ref="A26:A27"/>
    <mergeCell ref="B26:B27"/>
    <mergeCell ref="C26:C27"/>
    <mergeCell ref="H26:I26"/>
    <mergeCell ref="A28:A29"/>
    <mergeCell ref="B28:B29"/>
    <mergeCell ref="C28:C29"/>
    <mergeCell ref="H28:I28"/>
    <mergeCell ref="A30:A31"/>
    <mergeCell ref="B30:B31"/>
    <mergeCell ref="C30:C31"/>
    <mergeCell ref="H30:I30"/>
    <mergeCell ref="A34:A35"/>
    <mergeCell ref="B34:B35"/>
    <mergeCell ref="C34:C35"/>
    <mergeCell ref="H34:I34"/>
    <mergeCell ref="A32:A33"/>
    <mergeCell ref="B32:B33"/>
    <mergeCell ref="A40:A41"/>
    <mergeCell ref="B40:B41"/>
    <mergeCell ref="C40:C41"/>
    <mergeCell ref="H40:I40"/>
    <mergeCell ref="C38:C39"/>
    <mergeCell ref="H38:I38"/>
    <mergeCell ref="A38:A39"/>
    <mergeCell ref="B38:B39"/>
    <mergeCell ref="A36:A37"/>
    <mergeCell ref="B36:B37"/>
    <mergeCell ref="C32:C33"/>
    <mergeCell ref="H32:I32"/>
    <mergeCell ref="C36:C37"/>
    <mergeCell ref="H36:I36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R41"/>
  <sheetViews>
    <sheetView zoomScale="70" zoomScaleNormal="70" zoomScalePageLayoutView="0" workbookViewId="0" topLeftCell="A10">
      <selection activeCell="A1" sqref="A1"/>
    </sheetView>
  </sheetViews>
  <sheetFormatPr defaultColWidth="9.00390625" defaultRowHeight="13.5"/>
  <cols>
    <col min="9" max="9" width="9.00390625" style="51" customWidth="1"/>
  </cols>
  <sheetData>
    <row r="1" spans="1:17" ht="19.5" customHeight="1">
      <c r="A1" s="1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168</v>
      </c>
      <c r="Q2" s="2"/>
    </row>
    <row r="3" spans="1:18" ht="19.5" customHeight="1">
      <c r="A3" s="83" t="s">
        <v>179</v>
      </c>
      <c r="B3" s="85" t="s">
        <v>106</v>
      </c>
      <c r="C3" s="95" t="s">
        <v>109</v>
      </c>
      <c r="D3" s="87" t="s">
        <v>108</v>
      </c>
      <c r="E3" s="88"/>
      <c r="F3" s="88"/>
      <c r="G3" s="88"/>
      <c r="H3" s="88"/>
      <c r="I3" s="88"/>
      <c r="J3" s="88"/>
      <c r="K3" s="88"/>
      <c r="L3" s="88"/>
      <c r="M3" s="89"/>
      <c r="N3" s="57"/>
      <c r="O3" s="68"/>
      <c r="P3" s="83" t="s">
        <v>100</v>
      </c>
      <c r="Q3" s="85" t="s">
        <v>106</v>
      </c>
      <c r="R3" s="61" t="s">
        <v>166</v>
      </c>
    </row>
    <row r="4" spans="1:18" ht="19.5" customHeight="1">
      <c r="A4" s="84"/>
      <c r="B4" s="86"/>
      <c r="C4" s="96"/>
      <c r="D4" s="5" t="s">
        <v>110</v>
      </c>
      <c r="E4" s="5" t="s">
        <v>172</v>
      </c>
      <c r="F4" s="5" t="s">
        <v>173</v>
      </c>
      <c r="G4" s="5" t="s">
        <v>39</v>
      </c>
      <c r="H4" s="5" t="s">
        <v>40</v>
      </c>
      <c r="I4" s="5" t="s">
        <v>174</v>
      </c>
      <c r="J4" s="16" t="s">
        <v>175</v>
      </c>
      <c r="K4" s="17" t="s">
        <v>176</v>
      </c>
      <c r="L4" s="17"/>
      <c r="M4" s="12" t="s">
        <v>115</v>
      </c>
      <c r="N4" s="66"/>
      <c r="O4" s="69"/>
      <c r="P4" s="84"/>
      <c r="Q4" s="86"/>
      <c r="R4" s="62" t="s">
        <v>167</v>
      </c>
    </row>
    <row r="5" spans="1:18" ht="19.5" customHeight="1">
      <c r="A5" s="74" t="s">
        <v>159</v>
      </c>
      <c r="B5" s="90">
        <f>12+15+7+1+6+0+2</f>
        <v>43</v>
      </c>
      <c r="C5" s="80">
        <v>5</v>
      </c>
      <c r="D5" s="6">
        <v>0</v>
      </c>
      <c r="E5" s="6">
        <v>200</v>
      </c>
      <c r="F5" s="6">
        <v>0</v>
      </c>
      <c r="G5" s="6">
        <f>489+755+422+390+200</f>
        <v>2256</v>
      </c>
      <c r="H5" s="6">
        <v>0</v>
      </c>
      <c r="I5" s="6">
        <f>613+190</f>
        <v>803</v>
      </c>
      <c r="J5" s="6">
        <v>200</v>
      </c>
      <c r="K5" s="6">
        <v>20</v>
      </c>
      <c r="L5" s="6"/>
      <c r="M5" s="7">
        <f aca="true" t="shared" si="0" ref="M5:M20">SUM(D5:L5)</f>
        <v>3479</v>
      </c>
      <c r="N5" s="66"/>
      <c r="O5" s="69"/>
      <c r="P5" s="74" t="s">
        <v>159</v>
      </c>
      <c r="Q5" s="90">
        <f>B5+B26</f>
        <v>213</v>
      </c>
      <c r="R5" s="7">
        <f aca="true" t="shared" si="1" ref="R5:R20">M5+R26</f>
        <v>5732</v>
      </c>
    </row>
    <row r="6" spans="1:18" ht="19.5" customHeight="1">
      <c r="A6" s="75"/>
      <c r="B6" s="91"/>
      <c r="C6" s="92"/>
      <c r="D6" s="9">
        <v>0</v>
      </c>
      <c r="E6" s="9">
        <v>57</v>
      </c>
      <c r="F6" s="9">
        <v>0</v>
      </c>
      <c r="G6" s="9">
        <f>138+150+60+0+118</f>
        <v>466</v>
      </c>
      <c r="H6" s="9">
        <v>0</v>
      </c>
      <c r="I6" s="9">
        <v>403</v>
      </c>
      <c r="J6" s="9">
        <v>30</v>
      </c>
      <c r="K6" s="9">
        <v>0</v>
      </c>
      <c r="L6" s="9"/>
      <c r="M6" s="10">
        <f t="shared" si="0"/>
        <v>956</v>
      </c>
      <c r="N6" s="66"/>
      <c r="O6" s="69"/>
      <c r="P6" s="75"/>
      <c r="Q6" s="91"/>
      <c r="R6" s="10">
        <f t="shared" si="1"/>
        <v>1398</v>
      </c>
    </row>
    <row r="7" spans="1:18" ht="19.5" customHeight="1">
      <c r="A7" s="74" t="s">
        <v>178</v>
      </c>
      <c r="B7" s="90">
        <f>64+8+4</f>
        <v>76</v>
      </c>
      <c r="C7" s="80">
        <v>2</v>
      </c>
      <c r="D7" s="6">
        <v>250</v>
      </c>
      <c r="E7" s="6">
        <v>0</v>
      </c>
      <c r="F7" s="6">
        <v>0</v>
      </c>
      <c r="G7" s="6">
        <f>7514+530</f>
        <v>8044</v>
      </c>
      <c r="H7" s="6">
        <f>600+800</f>
        <v>1400</v>
      </c>
      <c r="I7" s="6">
        <f>928+160</f>
        <v>1088</v>
      </c>
      <c r="J7" s="6">
        <v>0</v>
      </c>
      <c r="K7" s="6">
        <v>590</v>
      </c>
      <c r="L7" s="6"/>
      <c r="M7" s="7">
        <f t="shared" si="0"/>
        <v>11372</v>
      </c>
      <c r="N7" s="66"/>
      <c r="O7" s="69"/>
      <c r="P7" s="74" t="s">
        <v>178</v>
      </c>
      <c r="Q7" s="90">
        <f>B7+B28</f>
        <v>319</v>
      </c>
      <c r="R7" s="7">
        <f t="shared" si="1"/>
        <v>15161</v>
      </c>
    </row>
    <row r="8" spans="1:18" ht="19.5" customHeight="1">
      <c r="A8" s="75"/>
      <c r="B8" s="91"/>
      <c r="C8" s="92"/>
      <c r="D8" s="9">
        <v>64</v>
      </c>
      <c r="E8" s="9">
        <v>0</v>
      </c>
      <c r="F8" s="9">
        <v>0</v>
      </c>
      <c r="G8" s="9">
        <f>2130+32</f>
        <v>2162</v>
      </c>
      <c r="H8" s="9">
        <f>111+218</f>
        <v>329</v>
      </c>
      <c r="I8" s="9">
        <f>261+3</f>
        <v>264</v>
      </c>
      <c r="J8" s="9">
        <v>0</v>
      </c>
      <c r="K8" s="9">
        <v>283</v>
      </c>
      <c r="L8" s="9"/>
      <c r="M8" s="10">
        <f t="shared" si="0"/>
        <v>3102</v>
      </c>
      <c r="N8" s="66"/>
      <c r="O8" s="69"/>
      <c r="P8" s="75"/>
      <c r="Q8" s="91"/>
      <c r="R8" s="10">
        <f t="shared" si="1"/>
        <v>3986</v>
      </c>
    </row>
    <row r="9" spans="1:18" ht="19.5" customHeight="1">
      <c r="A9" s="74" t="s">
        <v>118</v>
      </c>
      <c r="B9" s="90">
        <f>2+0+1+2+2+3</f>
        <v>10</v>
      </c>
      <c r="C9" s="80">
        <v>3</v>
      </c>
      <c r="D9" s="6">
        <v>0</v>
      </c>
      <c r="E9" s="6">
        <v>0</v>
      </c>
      <c r="F9" s="6">
        <v>0</v>
      </c>
      <c r="G9" s="6">
        <f>75+10</f>
        <v>85</v>
      </c>
      <c r="H9" s="6">
        <v>0</v>
      </c>
      <c r="I9" s="6">
        <v>0</v>
      </c>
      <c r="J9" s="6">
        <v>0</v>
      </c>
      <c r="K9" s="6">
        <f>100+30+60</f>
        <v>190</v>
      </c>
      <c r="L9" s="6"/>
      <c r="M9" s="7">
        <f t="shared" si="0"/>
        <v>275</v>
      </c>
      <c r="N9" s="66"/>
      <c r="O9" s="69"/>
      <c r="P9" s="74" t="s">
        <v>118</v>
      </c>
      <c r="Q9" s="90">
        <f>B9+B30</f>
        <v>32</v>
      </c>
      <c r="R9" s="7">
        <f t="shared" si="1"/>
        <v>355</v>
      </c>
    </row>
    <row r="10" spans="1:18" ht="19.5" customHeight="1">
      <c r="A10" s="75"/>
      <c r="B10" s="91"/>
      <c r="C10" s="92"/>
      <c r="D10" s="9">
        <v>0</v>
      </c>
      <c r="E10" s="9">
        <v>0</v>
      </c>
      <c r="F10" s="9">
        <v>0</v>
      </c>
      <c r="G10" s="9">
        <f>60+0</f>
        <v>60</v>
      </c>
      <c r="H10" s="9">
        <v>0</v>
      </c>
      <c r="I10" s="9">
        <v>0</v>
      </c>
      <c r="J10" s="9">
        <v>0</v>
      </c>
      <c r="K10" s="9">
        <f>35+1+5</f>
        <v>41</v>
      </c>
      <c r="L10" s="9"/>
      <c r="M10" s="10">
        <f t="shared" si="0"/>
        <v>101</v>
      </c>
      <c r="N10" s="66"/>
      <c r="O10" s="69"/>
      <c r="P10" s="75"/>
      <c r="Q10" s="91"/>
      <c r="R10" s="10">
        <f t="shared" si="1"/>
        <v>130</v>
      </c>
    </row>
    <row r="11" spans="1:18" ht="19.5" customHeight="1">
      <c r="A11" s="74" t="s">
        <v>119</v>
      </c>
      <c r="B11" s="90">
        <f>12+7+0+11</f>
        <v>30</v>
      </c>
      <c r="C11" s="80">
        <v>3</v>
      </c>
      <c r="D11" s="6">
        <v>0</v>
      </c>
      <c r="E11" s="6">
        <v>0</v>
      </c>
      <c r="F11" s="6">
        <v>0</v>
      </c>
      <c r="G11" s="6">
        <f>361+178+603</f>
        <v>1142</v>
      </c>
      <c r="H11" s="6">
        <v>0</v>
      </c>
      <c r="I11" s="6">
        <v>20</v>
      </c>
      <c r="J11" s="6">
        <v>0</v>
      </c>
      <c r="K11" s="6">
        <v>0</v>
      </c>
      <c r="L11" s="6"/>
      <c r="M11" s="7">
        <f t="shared" si="0"/>
        <v>1162</v>
      </c>
      <c r="N11" s="66"/>
      <c r="O11" s="69"/>
      <c r="P11" s="74" t="s">
        <v>119</v>
      </c>
      <c r="Q11" s="90">
        <f>B11+B32</f>
        <v>342</v>
      </c>
      <c r="R11" s="7">
        <f t="shared" si="1"/>
        <v>5052</v>
      </c>
    </row>
    <row r="12" spans="1:18" ht="19.5" customHeight="1">
      <c r="A12" s="75"/>
      <c r="B12" s="91"/>
      <c r="C12" s="92"/>
      <c r="D12" s="9">
        <v>0</v>
      </c>
      <c r="E12" s="9">
        <v>0</v>
      </c>
      <c r="F12" s="9">
        <v>0</v>
      </c>
      <c r="G12" s="9">
        <f>73+52+128</f>
        <v>253</v>
      </c>
      <c r="H12" s="9">
        <v>0</v>
      </c>
      <c r="I12" s="9">
        <v>4</v>
      </c>
      <c r="J12" s="9">
        <v>0</v>
      </c>
      <c r="K12" s="9">
        <v>0</v>
      </c>
      <c r="L12" s="9"/>
      <c r="M12" s="10">
        <f t="shared" si="0"/>
        <v>257</v>
      </c>
      <c r="N12" s="66"/>
      <c r="O12" s="69"/>
      <c r="P12" s="75"/>
      <c r="Q12" s="91"/>
      <c r="R12" s="10">
        <f t="shared" si="1"/>
        <v>1087</v>
      </c>
    </row>
    <row r="13" spans="1:18" s="51" customFormat="1" ht="19.5" customHeight="1">
      <c r="A13" s="74" t="s">
        <v>101</v>
      </c>
      <c r="B13" s="90">
        <f>2+3+0+0+0+0+2</f>
        <v>7</v>
      </c>
      <c r="C13" s="80">
        <v>3</v>
      </c>
      <c r="D13" s="6">
        <v>0</v>
      </c>
      <c r="E13" s="6">
        <v>50</v>
      </c>
      <c r="F13" s="6">
        <f>200+100</f>
        <v>300</v>
      </c>
      <c r="G13" s="6">
        <f>240+40+100</f>
        <v>380</v>
      </c>
      <c r="H13" s="6">
        <f>50+100</f>
        <v>150</v>
      </c>
      <c r="I13" s="6">
        <v>50</v>
      </c>
      <c r="J13" s="6">
        <f>100+100</f>
        <v>200</v>
      </c>
      <c r="K13" s="6">
        <v>0</v>
      </c>
      <c r="L13" s="6"/>
      <c r="M13" s="7">
        <f t="shared" si="0"/>
        <v>1130</v>
      </c>
      <c r="N13" s="67"/>
      <c r="O13" s="70"/>
      <c r="P13" s="74" t="s">
        <v>101</v>
      </c>
      <c r="Q13" s="90">
        <f>B13+B34</f>
        <v>247</v>
      </c>
      <c r="R13" s="7">
        <f t="shared" si="1"/>
        <v>4401</v>
      </c>
    </row>
    <row r="14" spans="1:18" s="51" customFormat="1" ht="19.5" customHeight="1">
      <c r="A14" s="75"/>
      <c r="B14" s="91"/>
      <c r="C14" s="92"/>
      <c r="D14" s="9">
        <v>0</v>
      </c>
      <c r="E14" s="9">
        <v>27</v>
      </c>
      <c r="F14" s="9">
        <f>162+15</f>
        <v>177</v>
      </c>
      <c r="G14" s="9">
        <f>25+112+10</f>
        <v>147</v>
      </c>
      <c r="H14" s="9">
        <f>34+50</f>
        <v>84</v>
      </c>
      <c r="I14" s="9">
        <v>14</v>
      </c>
      <c r="J14" s="9">
        <f>80+5</f>
        <v>85</v>
      </c>
      <c r="K14" s="9">
        <v>0</v>
      </c>
      <c r="L14" s="9"/>
      <c r="M14" s="10">
        <f t="shared" si="0"/>
        <v>534</v>
      </c>
      <c r="N14" s="67"/>
      <c r="O14" s="70"/>
      <c r="P14" s="75"/>
      <c r="Q14" s="91"/>
      <c r="R14" s="10">
        <f t="shared" si="1"/>
        <v>1467</v>
      </c>
    </row>
    <row r="15" spans="1:18" ht="19.5" customHeight="1">
      <c r="A15" s="74" t="s">
        <v>102</v>
      </c>
      <c r="B15" s="90">
        <f>3+3+0+8+2</f>
        <v>16</v>
      </c>
      <c r="C15" s="80">
        <v>4</v>
      </c>
      <c r="D15" s="6">
        <v>30</v>
      </c>
      <c r="E15" s="6">
        <v>0</v>
      </c>
      <c r="F15" s="6">
        <v>50</v>
      </c>
      <c r="G15" s="6">
        <f>70+87+0+140+220</f>
        <v>517</v>
      </c>
      <c r="H15" s="6">
        <v>100</v>
      </c>
      <c r="I15" s="6">
        <v>0</v>
      </c>
      <c r="J15" s="6">
        <v>0</v>
      </c>
      <c r="K15" s="6">
        <v>0</v>
      </c>
      <c r="L15" s="6"/>
      <c r="M15" s="7">
        <f t="shared" si="0"/>
        <v>697</v>
      </c>
      <c r="P15" s="74" t="s">
        <v>102</v>
      </c>
      <c r="Q15" s="90">
        <f>B15+B36</f>
        <v>206</v>
      </c>
      <c r="R15" s="7">
        <f t="shared" si="1"/>
        <v>2980</v>
      </c>
    </row>
    <row r="16" spans="1:18" ht="19.5" customHeight="1">
      <c r="A16" s="75"/>
      <c r="B16" s="91"/>
      <c r="C16" s="92"/>
      <c r="D16" s="9">
        <v>2</v>
      </c>
      <c r="E16" s="9">
        <v>0</v>
      </c>
      <c r="F16" s="9">
        <v>0</v>
      </c>
      <c r="G16" s="9">
        <f>19+8+0+32</f>
        <v>59</v>
      </c>
      <c r="H16" s="9">
        <v>0</v>
      </c>
      <c r="I16" s="9">
        <v>0</v>
      </c>
      <c r="J16" s="9">
        <v>0</v>
      </c>
      <c r="K16" s="9">
        <v>0</v>
      </c>
      <c r="L16" s="9"/>
      <c r="M16" s="10">
        <f t="shared" si="0"/>
        <v>61</v>
      </c>
      <c r="P16" s="75"/>
      <c r="Q16" s="91"/>
      <c r="R16" s="10">
        <f t="shared" si="1"/>
        <v>458</v>
      </c>
    </row>
    <row r="17" spans="1:18" ht="19.5" customHeight="1">
      <c r="A17" s="74" t="s">
        <v>120</v>
      </c>
      <c r="B17" s="90">
        <f>16+10+22+3+3+3+11+5+6+6</f>
        <v>85</v>
      </c>
      <c r="C17" s="80">
        <v>9</v>
      </c>
      <c r="D17" s="6">
        <f>200+10+300+150</f>
        <v>660</v>
      </c>
      <c r="E17" s="6">
        <v>100</v>
      </c>
      <c r="F17" s="6">
        <v>300</v>
      </c>
      <c r="G17" s="6">
        <f>4622+900+250+110+250+90+558+190+390</f>
        <v>7360</v>
      </c>
      <c r="H17" s="6">
        <f>200+3000+150</f>
        <v>3350</v>
      </c>
      <c r="I17" s="6">
        <f>250+490+200+300+150+200</f>
        <v>1590</v>
      </c>
      <c r="J17" s="6">
        <v>200</v>
      </c>
      <c r="K17" s="6">
        <v>180</v>
      </c>
      <c r="L17" s="6"/>
      <c r="M17" s="7">
        <f t="shared" si="0"/>
        <v>13740</v>
      </c>
      <c r="P17" s="74" t="s">
        <v>120</v>
      </c>
      <c r="Q17" s="90">
        <f>B17+B38</f>
        <v>161</v>
      </c>
      <c r="R17" s="7">
        <f t="shared" si="1"/>
        <v>15705</v>
      </c>
    </row>
    <row r="18" spans="1:18" ht="19.5" customHeight="1">
      <c r="A18" s="75"/>
      <c r="B18" s="91"/>
      <c r="C18" s="92"/>
      <c r="D18" s="9">
        <f>160+64+14</f>
        <v>238</v>
      </c>
      <c r="E18" s="9">
        <v>0</v>
      </c>
      <c r="F18" s="9">
        <v>87</v>
      </c>
      <c r="G18" s="9">
        <f>720+334+213+0+0+8+148+108+2</f>
        <v>1533</v>
      </c>
      <c r="H18" s="9">
        <f>50+970</f>
        <v>1020</v>
      </c>
      <c r="I18" s="9">
        <f>141+140+186+25</f>
        <v>492</v>
      </c>
      <c r="J18" s="9">
        <v>0</v>
      </c>
      <c r="K18" s="9">
        <v>0</v>
      </c>
      <c r="L18" s="9"/>
      <c r="M18" s="10">
        <f t="shared" si="0"/>
        <v>3370</v>
      </c>
      <c r="P18" s="75"/>
      <c r="Q18" s="91"/>
      <c r="R18" s="10">
        <f t="shared" si="1"/>
        <v>4798</v>
      </c>
    </row>
    <row r="19" spans="1:18" ht="19.5" customHeight="1">
      <c r="A19" s="74" t="s">
        <v>121</v>
      </c>
      <c r="B19" s="76">
        <f>SUM(B5:B18)</f>
        <v>267</v>
      </c>
      <c r="C19" s="76">
        <f>SUM(C5:C18)</f>
        <v>29</v>
      </c>
      <c r="D19" s="7">
        <f>D5+D7+D9+D11+D13+D15+D17</f>
        <v>940</v>
      </c>
      <c r="E19" s="7">
        <f aca="true" t="shared" si="2" ref="E19:K20">E5+E7+E9+E11+E13+E15+E17</f>
        <v>350</v>
      </c>
      <c r="F19" s="7">
        <f t="shared" si="2"/>
        <v>650</v>
      </c>
      <c r="G19" s="7">
        <f t="shared" si="2"/>
        <v>19784</v>
      </c>
      <c r="H19" s="7">
        <f t="shared" si="2"/>
        <v>5000</v>
      </c>
      <c r="I19" s="7">
        <f t="shared" si="2"/>
        <v>3551</v>
      </c>
      <c r="J19" s="7">
        <f t="shared" si="2"/>
        <v>600</v>
      </c>
      <c r="K19" s="7">
        <f t="shared" si="2"/>
        <v>980</v>
      </c>
      <c r="L19" s="7"/>
      <c r="M19" s="7">
        <f t="shared" si="0"/>
        <v>31855</v>
      </c>
      <c r="P19" s="74" t="s">
        <v>121</v>
      </c>
      <c r="Q19" s="76">
        <f>B19+B40</f>
        <v>1520</v>
      </c>
      <c r="R19" s="7">
        <f t="shared" si="1"/>
        <v>49386</v>
      </c>
    </row>
    <row r="20" spans="1:18" ht="19.5" customHeight="1">
      <c r="A20" s="75"/>
      <c r="B20" s="77"/>
      <c r="C20" s="77"/>
      <c r="D20" s="8">
        <f>D6+D8+D10+D12+D14+D16+D18</f>
        <v>304</v>
      </c>
      <c r="E20" s="8">
        <f t="shared" si="2"/>
        <v>84</v>
      </c>
      <c r="F20" s="8">
        <f t="shared" si="2"/>
        <v>264</v>
      </c>
      <c r="G20" s="8">
        <f t="shared" si="2"/>
        <v>4680</v>
      </c>
      <c r="H20" s="8">
        <f t="shared" si="2"/>
        <v>1433</v>
      </c>
      <c r="I20" s="8">
        <f t="shared" si="2"/>
        <v>1177</v>
      </c>
      <c r="J20" s="8">
        <f t="shared" si="2"/>
        <v>115</v>
      </c>
      <c r="K20" s="8">
        <f t="shared" si="2"/>
        <v>324</v>
      </c>
      <c r="L20" s="8"/>
      <c r="M20" s="8">
        <f t="shared" si="0"/>
        <v>8381</v>
      </c>
      <c r="P20" s="75"/>
      <c r="Q20" s="77"/>
      <c r="R20" s="8">
        <f t="shared" si="1"/>
        <v>13324</v>
      </c>
    </row>
    <row r="21" spans="1:17" ht="19.5" customHeight="1">
      <c r="A21" s="13"/>
      <c r="B21" s="14"/>
      <c r="C21" s="4"/>
      <c r="D21" s="15"/>
      <c r="E21" s="15"/>
      <c r="F21" s="32"/>
      <c r="G21" s="15"/>
      <c r="H21" s="15"/>
      <c r="I21" s="15"/>
      <c r="J21" s="32"/>
      <c r="K21" s="32"/>
      <c r="L21" s="15"/>
      <c r="M21" s="15"/>
      <c r="N21" s="2"/>
      <c r="O21" s="2"/>
      <c r="P21" s="2"/>
      <c r="Q21" s="2"/>
    </row>
    <row r="22" spans="1:17" ht="19.5" customHeight="1">
      <c r="A22" s="13"/>
      <c r="B22" s="14"/>
      <c r="C22" s="4"/>
      <c r="D22" s="15"/>
      <c r="E22" s="15"/>
      <c r="F22" s="32"/>
      <c r="G22" s="15"/>
      <c r="H22" s="15"/>
      <c r="I22" s="15"/>
      <c r="J22" s="32"/>
      <c r="K22" s="32"/>
      <c r="L22" s="15"/>
      <c r="M22" s="15"/>
      <c r="N22" s="2"/>
      <c r="O22" s="2"/>
      <c r="P22" s="2"/>
      <c r="Q22" s="2"/>
    </row>
    <row r="23" spans="1:17" ht="19.5" customHeight="1">
      <c r="A23" s="11" t="s">
        <v>122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9.5" customHeight="1">
      <c r="A24" s="83" t="s">
        <v>179</v>
      </c>
      <c r="B24" s="85" t="s">
        <v>106</v>
      </c>
      <c r="C24" s="3" t="s">
        <v>107</v>
      </c>
      <c r="D24" s="87" t="s">
        <v>108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</row>
    <row r="25" spans="1:18" ht="19.5" customHeight="1">
      <c r="A25" s="84"/>
      <c r="B25" s="86"/>
      <c r="C25" s="5" t="s">
        <v>109</v>
      </c>
      <c r="D25" s="5" t="s">
        <v>123</v>
      </c>
      <c r="E25" s="5" t="s">
        <v>124</v>
      </c>
      <c r="F25" s="5" t="s">
        <v>125</v>
      </c>
      <c r="G25" s="5" t="s">
        <v>177</v>
      </c>
      <c r="H25" s="5" t="s">
        <v>127</v>
      </c>
      <c r="I25" s="5" t="s">
        <v>128</v>
      </c>
      <c r="J25" s="5" t="s">
        <v>129</v>
      </c>
      <c r="K25" s="5" t="s">
        <v>130</v>
      </c>
      <c r="L25" s="54" t="s">
        <v>95</v>
      </c>
      <c r="M25" s="54" t="s">
        <v>131</v>
      </c>
      <c r="N25" s="54" t="s">
        <v>132</v>
      </c>
      <c r="O25" s="5" t="s">
        <v>133</v>
      </c>
      <c r="P25" s="5" t="s">
        <v>151</v>
      </c>
      <c r="Q25" s="5" t="s">
        <v>185</v>
      </c>
      <c r="R25" s="12" t="s">
        <v>115</v>
      </c>
    </row>
    <row r="26" spans="1:18" ht="19.5" customHeight="1">
      <c r="A26" s="74" t="s">
        <v>159</v>
      </c>
      <c r="B26" s="76">
        <v>170</v>
      </c>
      <c r="C26" s="80">
        <v>5</v>
      </c>
      <c r="D26" s="6">
        <v>39</v>
      </c>
      <c r="E26" s="6">
        <v>15</v>
      </c>
      <c r="F26" s="6">
        <v>50</v>
      </c>
      <c r="G26" s="6">
        <v>0</v>
      </c>
      <c r="H26" s="78">
        <v>445</v>
      </c>
      <c r="I26" s="79"/>
      <c r="J26" s="6">
        <v>0</v>
      </c>
      <c r="K26" s="6">
        <v>0</v>
      </c>
      <c r="L26" s="6">
        <v>1145</v>
      </c>
      <c r="M26" s="6">
        <v>239</v>
      </c>
      <c r="N26" s="6">
        <v>300</v>
      </c>
      <c r="O26" s="6">
        <v>5</v>
      </c>
      <c r="P26" s="6">
        <v>0</v>
      </c>
      <c r="Q26" s="6">
        <v>15</v>
      </c>
      <c r="R26" s="7">
        <f aca="true" t="shared" si="3" ref="R26:R41">SUM(D26:Q26)</f>
        <v>2253</v>
      </c>
    </row>
    <row r="27" spans="1:18" ht="19.5" customHeight="1">
      <c r="A27" s="75"/>
      <c r="B27" s="77"/>
      <c r="C27" s="81"/>
      <c r="D27" s="9">
        <v>4</v>
      </c>
      <c r="E27" s="9">
        <v>0</v>
      </c>
      <c r="F27" s="9">
        <v>11</v>
      </c>
      <c r="G27" s="9">
        <v>0</v>
      </c>
      <c r="H27" s="9">
        <v>45</v>
      </c>
      <c r="I27" s="46">
        <v>54</v>
      </c>
      <c r="J27" s="9">
        <v>0</v>
      </c>
      <c r="K27" s="9">
        <v>0</v>
      </c>
      <c r="L27" s="9">
        <v>141</v>
      </c>
      <c r="M27" s="9">
        <v>30</v>
      </c>
      <c r="N27" s="9">
        <v>157</v>
      </c>
      <c r="O27" s="9">
        <v>0</v>
      </c>
      <c r="P27" s="9">
        <v>0</v>
      </c>
      <c r="Q27" s="9">
        <v>0</v>
      </c>
      <c r="R27" s="8">
        <f t="shared" si="3"/>
        <v>442</v>
      </c>
    </row>
    <row r="28" spans="1:18" ht="19.5" customHeight="1">
      <c r="A28" s="74" t="s">
        <v>178</v>
      </c>
      <c r="B28" s="76">
        <v>243</v>
      </c>
      <c r="C28" s="80">
        <v>2</v>
      </c>
      <c r="D28" s="6">
        <v>36</v>
      </c>
      <c r="E28" s="6">
        <v>140</v>
      </c>
      <c r="F28" s="6">
        <v>340</v>
      </c>
      <c r="G28" s="6">
        <v>11</v>
      </c>
      <c r="H28" s="78">
        <v>95</v>
      </c>
      <c r="I28" s="79"/>
      <c r="J28" s="6">
        <v>165</v>
      </c>
      <c r="K28" s="6">
        <v>80</v>
      </c>
      <c r="L28" s="6">
        <v>1312</v>
      </c>
      <c r="M28" s="6">
        <v>896</v>
      </c>
      <c r="N28" s="6">
        <v>81</v>
      </c>
      <c r="O28" s="6">
        <v>633</v>
      </c>
      <c r="P28" s="6">
        <v>0</v>
      </c>
      <c r="Q28" s="6">
        <v>0</v>
      </c>
      <c r="R28" s="7">
        <f t="shared" si="3"/>
        <v>3789</v>
      </c>
    </row>
    <row r="29" spans="1:18" ht="19.5" customHeight="1">
      <c r="A29" s="75"/>
      <c r="B29" s="77"/>
      <c r="C29" s="81"/>
      <c r="D29" s="9">
        <v>12</v>
      </c>
      <c r="E29" s="9">
        <v>0</v>
      </c>
      <c r="F29" s="9">
        <v>123</v>
      </c>
      <c r="G29" s="9">
        <v>0</v>
      </c>
      <c r="H29" s="9">
        <v>2</v>
      </c>
      <c r="I29" s="46">
        <v>1</v>
      </c>
      <c r="J29" s="9">
        <v>38</v>
      </c>
      <c r="K29" s="9">
        <v>8</v>
      </c>
      <c r="L29" s="9">
        <v>401</v>
      </c>
      <c r="M29" s="9">
        <v>226</v>
      </c>
      <c r="N29" s="9">
        <v>18</v>
      </c>
      <c r="O29" s="9">
        <v>55</v>
      </c>
      <c r="P29" s="9">
        <v>0</v>
      </c>
      <c r="Q29" s="9">
        <v>0</v>
      </c>
      <c r="R29" s="8">
        <f t="shared" si="3"/>
        <v>884</v>
      </c>
    </row>
    <row r="30" spans="1:18" s="51" customFormat="1" ht="19.5" customHeight="1">
      <c r="A30" s="74" t="s">
        <v>118</v>
      </c>
      <c r="B30" s="76">
        <v>22</v>
      </c>
      <c r="C30" s="80">
        <v>3</v>
      </c>
      <c r="D30" s="6">
        <v>3</v>
      </c>
      <c r="E30" s="6">
        <v>0</v>
      </c>
      <c r="F30" s="6">
        <v>9</v>
      </c>
      <c r="G30" s="6">
        <v>0</v>
      </c>
      <c r="H30" s="78">
        <v>2</v>
      </c>
      <c r="I30" s="79"/>
      <c r="J30" s="6">
        <v>20</v>
      </c>
      <c r="K30" s="6">
        <v>0</v>
      </c>
      <c r="L30" s="6">
        <v>37</v>
      </c>
      <c r="M30" s="6">
        <v>9</v>
      </c>
      <c r="N30" s="6">
        <v>0</v>
      </c>
      <c r="O30" s="6">
        <v>0</v>
      </c>
      <c r="P30" s="6">
        <v>0</v>
      </c>
      <c r="Q30" s="6">
        <v>0</v>
      </c>
      <c r="R30" s="7">
        <f t="shared" si="3"/>
        <v>80</v>
      </c>
    </row>
    <row r="31" spans="1:18" s="51" customFormat="1" ht="19.5" customHeight="1">
      <c r="A31" s="75"/>
      <c r="B31" s="77"/>
      <c r="C31" s="81"/>
      <c r="D31" s="9">
        <v>2</v>
      </c>
      <c r="E31" s="9">
        <v>0</v>
      </c>
      <c r="F31" s="9">
        <v>5</v>
      </c>
      <c r="G31" s="9">
        <v>0</v>
      </c>
      <c r="H31" s="9">
        <v>2</v>
      </c>
      <c r="I31" s="46">
        <v>0</v>
      </c>
      <c r="J31" s="9">
        <v>4</v>
      </c>
      <c r="K31" s="9">
        <v>0</v>
      </c>
      <c r="L31" s="9">
        <v>10</v>
      </c>
      <c r="M31" s="9">
        <v>6</v>
      </c>
      <c r="N31" s="9">
        <v>0</v>
      </c>
      <c r="O31" s="9">
        <v>0</v>
      </c>
      <c r="P31" s="9">
        <v>0</v>
      </c>
      <c r="Q31" s="9">
        <v>0</v>
      </c>
      <c r="R31" s="8">
        <f t="shared" si="3"/>
        <v>29</v>
      </c>
    </row>
    <row r="32" spans="1:18" ht="19.5" customHeight="1">
      <c r="A32" s="74" t="s">
        <v>119</v>
      </c>
      <c r="B32" s="76">
        <f>309+3</f>
        <v>312</v>
      </c>
      <c r="C32" s="80">
        <v>4</v>
      </c>
      <c r="D32" s="6">
        <v>0</v>
      </c>
      <c r="E32" s="6">
        <v>55</v>
      </c>
      <c r="F32" s="6">
        <v>575</v>
      </c>
      <c r="G32" s="6">
        <v>0</v>
      </c>
      <c r="H32" s="78">
        <v>720</v>
      </c>
      <c r="I32" s="79"/>
      <c r="J32" s="6">
        <v>61</v>
      </c>
      <c r="K32" s="6">
        <v>11</v>
      </c>
      <c r="L32" s="6">
        <v>1093</v>
      </c>
      <c r="M32" s="6">
        <v>1010</v>
      </c>
      <c r="N32" s="6">
        <v>0</v>
      </c>
      <c r="O32" s="6">
        <v>365</v>
      </c>
      <c r="P32" s="6">
        <v>0</v>
      </c>
      <c r="Q32" s="6">
        <v>0</v>
      </c>
      <c r="R32" s="7">
        <f t="shared" si="3"/>
        <v>3890</v>
      </c>
    </row>
    <row r="33" spans="1:18" ht="19.5" customHeight="1">
      <c r="A33" s="75"/>
      <c r="B33" s="77"/>
      <c r="C33" s="81"/>
      <c r="D33" s="9">
        <v>0</v>
      </c>
      <c r="E33" s="9">
        <v>1</v>
      </c>
      <c r="F33" s="9">
        <v>72</v>
      </c>
      <c r="G33" s="9">
        <v>0</v>
      </c>
      <c r="H33" s="9">
        <v>62</v>
      </c>
      <c r="I33" s="46">
        <v>52</v>
      </c>
      <c r="J33" s="9">
        <v>16</v>
      </c>
      <c r="K33" s="9">
        <v>10</v>
      </c>
      <c r="L33" s="9">
        <v>302</v>
      </c>
      <c r="M33" s="9">
        <v>311</v>
      </c>
      <c r="N33" s="9">
        <v>0</v>
      </c>
      <c r="O33" s="9">
        <v>4</v>
      </c>
      <c r="P33" s="9">
        <v>0</v>
      </c>
      <c r="Q33" s="9">
        <v>0</v>
      </c>
      <c r="R33" s="8">
        <f t="shared" si="3"/>
        <v>830</v>
      </c>
    </row>
    <row r="34" spans="1:18" s="51" customFormat="1" ht="19.5" customHeight="1">
      <c r="A34" s="74" t="s">
        <v>101</v>
      </c>
      <c r="B34" s="76">
        <f>221+18+1</f>
        <v>240</v>
      </c>
      <c r="C34" s="80">
        <v>7</v>
      </c>
      <c r="D34" s="6">
        <f>41+18</f>
        <v>59</v>
      </c>
      <c r="E34" s="6">
        <v>4</v>
      </c>
      <c r="F34" s="6">
        <v>71</v>
      </c>
      <c r="G34" s="6">
        <v>0</v>
      </c>
      <c r="H34" s="78">
        <v>25</v>
      </c>
      <c r="I34" s="79"/>
      <c r="J34" s="6">
        <v>889</v>
      </c>
      <c r="K34" s="6">
        <v>0</v>
      </c>
      <c r="L34" s="6">
        <v>2090</v>
      </c>
      <c r="M34" s="6">
        <v>61</v>
      </c>
      <c r="N34" s="6">
        <v>0</v>
      </c>
      <c r="O34" s="6">
        <v>60</v>
      </c>
      <c r="P34" s="6">
        <v>9</v>
      </c>
      <c r="Q34" s="6">
        <v>3</v>
      </c>
      <c r="R34" s="7">
        <f t="shared" si="3"/>
        <v>3271</v>
      </c>
    </row>
    <row r="35" spans="1:18" s="51" customFormat="1" ht="19.5" customHeight="1">
      <c r="A35" s="75"/>
      <c r="B35" s="77"/>
      <c r="C35" s="81"/>
      <c r="D35" s="9">
        <f>19+12</f>
        <v>31</v>
      </c>
      <c r="E35" s="9">
        <v>4</v>
      </c>
      <c r="F35" s="9">
        <v>36</v>
      </c>
      <c r="G35" s="9">
        <v>0</v>
      </c>
      <c r="H35" s="9">
        <v>9</v>
      </c>
      <c r="I35" s="46">
        <v>2</v>
      </c>
      <c r="J35" s="9">
        <v>146</v>
      </c>
      <c r="K35" s="9">
        <v>0</v>
      </c>
      <c r="L35" s="9">
        <v>657</v>
      </c>
      <c r="M35" s="9">
        <v>31</v>
      </c>
      <c r="N35" s="9">
        <v>0</v>
      </c>
      <c r="O35" s="9">
        <v>6</v>
      </c>
      <c r="P35" s="9">
        <v>8</v>
      </c>
      <c r="Q35" s="9">
        <v>3</v>
      </c>
      <c r="R35" s="8">
        <f t="shared" si="3"/>
        <v>933</v>
      </c>
    </row>
    <row r="36" spans="1:18" ht="19.5" customHeight="1">
      <c r="A36" s="74" t="s">
        <v>102</v>
      </c>
      <c r="B36" s="76">
        <f>136+53+1</f>
        <v>190</v>
      </c>
      <c r="C36" s="80">
        <v>5</v>
      </c>
      <c r="D36" s="6">
        <f>10+64</f>
        <v>74</v>
      </c>
      <c r="E36" s="6">
        <v>0</v>
      </c>
      <c r="F36" s="6">
        <v>0</v>
      </c>
      <c r="G36" s="6">
        <v>0</v>
      </c>
      <c r="H36" s="78">
        <v>339</v>
      </c>
      <c r="I36" s="82"/>
      <c r="J36" s="6">
        <v>387</v>
      </c>
      <c r="K36" s="6">
        <v>0</v>
      </c>
      <c r="L36" s="6">
        <v>1160</v>
      </c>
      <c r="M36" s="6">
        <v>316</v>
      </c>
      <c r="N36" s="6">
        <v>0</v>
      </c>
      <c r="O36" s="6">
        <v>0</v>
      </c>
      <c r="P36" s="6">
        <v>7</v>
      </c>
      <c r="Q36" s="6">
        <v>0</v>
      </c>
      <c r="R36" s="7">
        <f t="shared" si="3"/>
        <v>2283</v>
      </c>
    </row>
    <row r="37" spans="1:18" ht="19.5" customHeight="1">
      <c r="A37" s="75"/>
      <c r="B37" s="77"/>
      <c r="C37" s="81"/>
      <c r="D37" s="9">
        <f>31+1</f>
        <v>32</v>
      </c>
      <c r="E37" s="9">
        <v>0</v>
      </c>
      <c r="F37" s="9">
        <v>0</v>
      </c>
      <c r="G37" s="9">
        <v>0</v>
      </c>
      <c r="H37" s="9">
        <v>18</v>
      </c>
      <c r="I37" s="46">
        <v>47</v>
      </c>
      <c r="J37" s="9">
        <v>103</v>
      </c>
      <c r="K37" s="9">
        <v>0</v>
      </c>
      <c r="L37" s="9">
        <v>140</v>
      </c>
      <c r="M37" s="9">
        <v>50</v>
      </c>
      <c r="N37" s="9">
        <v>0</v>
      </c>
      <c r="O37" s="9">
        <v>0</v>
      </c>
      <c r="P37" s="9">
        <v>7</v>
      </c>
      <c r="Q37" s="9">
        <v>0</v>
      </c>
      <c r="R37" s="8">
        <f t="shared" si="3"/>
        <v>397</v>
      </c>
    </row>
    <row r="38" spans="1:18" ht="19.5" customHeight="1">
      <c r="A38" s="74" t="s">
        <v>120</v>
      </c>
      <c r="B38" s="76">
        <f>71+5</f>
        <v>76</v>
      </c>
      <c r="C38" s="80">
        <v>4</v>
      </c>
      <c r="D38" s="6">
        <v>2</v>
      </c>
      <c r="E38" s="6">
        <v>8</v>
      </c>
      <c r="F38" s="6">
        <v>33</v>
      </c>
      <c r="G38" s="6">
        <v>0</v>
      </c>
      <c r="H38" s="78">
        <v>296</v>
      </c>
      <c r="I38" s="79"/>
      <c r="J38" s="6">
        <v>285</v>
      </c>
      <c r="K38" s="6">
        <v>6</v>
      </c>
      <c r="L38" s="6">
        <v>1193</v>
      </c>
      <c r="M38" s="6">
        <v>42</v>
      </c>
      <c r="N38" s="6">
        <v>100</v>
      </c>
      <c r="O38" s="6">
        <v>0</v>
      </c>
      <c r="P38" s="6">
        <v>0</v>
      </c>
      <c r="Q38" s="6">
        <v>0</v>
      </c>
      <c r="R38" s="7">
        <f t="shared" si="3"/>
        <v>1965</v>
      </c>
    </row>
    <row r="39" spans="1:18" ht="19.5" customHeight="1">
      <c r="A39" s="75"/>
      <c r="B39" s="77"/>
      <c r="C39" s="81"/>
      <c r="D39" s="9">
        <v>2</v>
      </c>
      <c r="E39" s="9">
        <v>3</v>
      </c>
      <c r="F39" s="9">
        <v>22</v>
      </c>
      <c r="G39" s="9">
        <v>0</v>
      </c>
      <c r="H39" s="9">
        <v>92</v>
      </c>
      <c r="I39" s="46">
        <v>91</v>
      </c>
      <c r="J39" s="9">
        <v>55</v>
      </c>
      <c r="K39" s="9">
        <v>3</v>
      </c>
      <c r="L39" s="9">
        <v>1077</v>
      </c>
      <c r="M39" s="9">
        <v>19</v>
      </c>
      <c r="N39" s="9">
        <v>64</v>
      </c>
      <c r="O39" s="9">
        <v>0</v>
      </c>
      <c r="P39" s="9">
        <v>0</v>
      </c>
      <c r="Q39" s="9">
        <v>0</v>
      </c>
      <c r="R39" s="8">
        <f t="shared" si="3"/>
        <v>1428</v>
      </c>
    </row>
    <row r="40" spans="1:18" ht="19.5" customHeight="1">
      <c r="A40" s="74" t="s">
        <v>136</v>
      </c>
      <c r="B40" s="76">
        <f>SUM(B26:B39)</f>
        <v>1253</v>
      </c>
      <c r="C40" s="76">
        <f>SUM(C26:C39)</f>
        <v>30</v>
      </c>
      <c r="D40" s="7">
        <f>D26+D28+D30+D32+D34+D36+D38</f>
        <v>213</v>
      </c>
      <c r="E40" s="7">
        <f>E26+E28+E30+E32+E34+E36+E38</f>
        <v>222</v>
      </c>
      <c r="F40" s="7">
        <f>F26+F28+F30+F32+F34+F36+F38</f>
        <v>1078</v>
      </c>
      <c r="G40" s="7">
        <f>G26+G28+G30+G32+G34+G36+G38</f>
        <v>11</v>
      </c>
      <c r="H40" s="78">
        <f>H26+H28+H30+H32+H34+H36+H38</f>
        <v>1922</v>
      </c>
      <c r="I40" s="79"/>
      <c r="J40" s="7">
        <f aca="true" t="shared" si="4" ref="E40:J41">J26+J28+J30+J32+J34+J36+J38</f>
        <v>1807</v>
      </c>
      <c r="K40" s="7">
        <f aca="true" t="shared" si="5" ref="K40:Q40">K26+K28+K30+K32+K34+K36+K38</f>
        <v>97</v>
      </c>
      <c r="L40" s="7">
        <f t="shared" si="5"/>
        <v>8030</v>
      </c>
      <c r="M40" s="7">
        <f t="shared" si="5"/>
        <v>2573</v>
      </c>
      <c r="N40" s="7">
        <f t="shared" si="5"/>
        <v>481</v>
      </c>
      <c r="O40" s="7">
        <f>O26+O28+O30+O32+O34+O36+O38</f>
        <v>1063</v>
      </c>
      <c r="P40" s="7">
        <f t="shared" si="5"/>
        <v>16</v>
      </c>
      <c r="Q40" s="7">
        <f t="shared" si="5"/>
        <v>18</v>
      </c>
      <c r="R40" s="7">
        <f t="shared" si="3"/>
        <v>17531</v>
      </c>
    </row>
    <row r="41" spans="1:18" ht="19.5" customHeight="1">
      <c r="A41" s="75"/>
      <c r="B41" s="77"/>
      <c r="C41" s="77"/>
      <c r="D41" s="8">
        <f>D27+D29+D31+D33+D35+D37+D39</f>
        <v>83</v>
      </c>
      <c r="E41" s="8">
        <f t="shared" si="4"/>
        <v>8</v>
      </c>
      <c r="F41" s="8">
        <f t="shared" si="4"/>
        <v>269</v>
      </c>
      <c r="G41" s="8">
        <f t="shared" si="4"/>
        <v>0</v>
      </c>
      <c r="H41" s="8">
        <f t="shared" si="4"/>
        <v>230</v>
      </c>
      <c r="I41" s="8">
        <f t="shared" si="4"/>
        <v>247</v>
      </c>
      <c r="J41" s="8">
        <f t="shared" si="4"/>
        <v>362</v>
      </c>
      <c r="K41" s="8">
        <f aca="true" t="shared" si="6" ref="K41:Q41">K27+K29+K31+K33+K35+K37+K39</f>
        <v>21</v>
      </c>
      <c r="L41" s="8">
        <f t="shared" si="6"/>
        <v>2728</v>
      </c>
      <c r="M41" s="8">
        <f t="shared" si="6"/>
        <v>673</v>
      </c>
      <c r="N41" s="8">
        <f t="shared" si="6"/>
        <v>239</v>
      </c>
      <c r="O41" s="8">
        <f>O27+O29+O31+O33+O35+O37+O39</f>
        <v>65</v>
      </c>
      <c r="P41" s="8">
        <f t="shared" si="6"/>
        <v>15</v>
      </c>
      <c r="Q41" s="8">
        <f t="shared" si="6"/>
        <v>3</v>
      </c>
      <c r="R41" s="8">
        <f t="shared" si="3"/>
        <v>4943</v>
      </c>
    </row>
    <row r="45" ht="13.5"/>
    <row r="46" ht="13.5"/>
    <row r="47" ht="13.5"/>
    <row r="48" ht="13.5"/>
  </sheetData>
  <sheetProtection/>
  <mergeCells count="81">
    <mergeCell ref="A36:A37"/>
    <mergeCell ref="B36:B37"/>
    <mergeCell ref="C36:C37"/>
    <mergeCell ref="B38:B39"/>
    <mergeCell ref="C38:C39"/>
    <mergeCell ref="A40:A41"/>
    <mergeCell ref="B40:B41"/>
    <mergeCell ref="C40:C41"/>
    <mergeCell ref="A38:A39"/>
    <mergeCell ref="A34:A35"/>
    <mergeCell ref="B34:B35"/>
    <mergeCell ref="C34:C35"/>
    <mergeCell ref="H34:I34"/>
    <mergeCell ref="A32:A33"/>
    <mergeCell ref="B32:B33"/>
    <mergeCell ref="C32:C33"/>
    <mergeCell ref="A30:A31"/>
    <mergeCell ref="B30:B31"/>
    <mergeCell ref="C30:C31"/>
    <mergeCell ref="C26:C27"/>
    <mergeCell ref="A24:A25"/>
    <mergeCell ref="B24:B25"/>
    <mergeCell ref="A28:A29"/>
    <mergeCell ref="B28:B29"/>
    <mergeCell ref="A26:A27"/>
    <mergeCell ref="B26:B27"/>
    <mergeCell ref="C28:C29"/>
    <mergeCell ref="A19:A20"/>
    <mergeCell ref="B19:B20"/>
    <mergeCell ref="C19:C20"/>
    <mergeCell ref="A17:A18"/>
    <mergeCell ref="B17:B18"/>
    <mergeCell ref="C17:C18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B11:B12"/>
    <mergeCell ref="C11:C12"/>
    <mergeCell ref="A11:A12"/>
    <mergeCell ref="C5:C6"/>
    <mergeCell ref="H26:I26"/>
    <mergeCell ref="H28:I28"/>
    <mergeCell ref="A3:A4"/>
    <mergeCell ref="B3:B4"/>
    <mergeCell ref="A7:A8"/>
    <mergeCell ref="B7:B8"/>
    <mergeCell ref="C7:C8"/>
    <mergeCell ref="A5:A6"/>
    <mergeCell ref="B5:B6"/>
    <mergeCell ref="P3:P4"/>
    <mergeCell ref="Q3:Q4"/>
    <mergeCell ref="D3:M3"/>
    <mergeCell ref="H40:I40"/>
    <mergeCell ref="H30:I30"/>
    <mergeCell ref="H38:I38"/>
    <mergeCell ref="H36:I36"/>
    <mergeCell ref="H32:I32"/>
    <mergeCell ref="D24:R24"/>
    <mergeCell ref="P7:P8"/>
    <mergeCell ref="C3:C4"/>
    <mergeCell ref="P17:P18"/>
    <mergeCell ref="Q17:Q18"/>
    <mergeCell ref="P9:P10"/>
    <mergeCell ref="Q9:Q10"/>
    <mergeCell ref="P11:P12"/>
    <mergeCell ref="Q11:Q12"/>
    <mergeCell ref="P5:P6"/>
    <mergeCell ref="Q5:Q6"/>
    <mergeCell ref="Q7:Q8"/>
    <mergeCell ref="P19:P20"/>
    <mergeCell ref="Q19:Q20"/>
    <mergeCell ref="P13:P14"/>
    <mergeCell ref="P15:P16"/>
    <mergeCell ref="Q15:Q16"/>
    <mergeCell ref="Q13:Q14"/>
  </mergeCells>
  <printOptions/>
  <pageMargins left="0.7" right="0.7" top="0.75" bottom="0.75" header="0.3" footer="0.3"/>
  <pageSetup horizontalDpi="600" verticalDpi="600" orientation="landscape" paperSize="9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Q57"/>
  <sheetViews>
    <sheetView zoomScale="70" zoomScaleNormal="70" zoomScalePageLayoutView="0" workbookViewId="0" topLeftCell="A16">
      <selection activeCell="A1" sqref="A1"/>
    </sheetView>
  </sheetViews>
  <sheetFormatPr defaultColWidth="9.00390625" defaultRowHeight="13.5"/>
  <cols>
    <col min="9" max="9" width="9.00390625" style="51" customWidth="1"/>
  </cols>
  <sheetData>
    <row r="1" spans="1:16" ht="19.5" customHeight="1">
      <c r="A1" s="1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" t="s">
        <v>105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168</v>
      </c>
      <c r="P2" s="2"/>
    </row>
    <row r="3" spans="1:17" ht="19.5" customHeight="1">
      <c r="A3" s="83" t="s">
        <v>100</v>
      </c>
      <c r="B3" s="85" t="s">
        <v>106</v>
      </c>
      <c r="C3" s="95" t="s">
        <v>109</v>
      </c>
      <c r="D3" s="87" t="s">
        <v>108</v>
      </c>
      <c r="E3" s="88"/>
      <c r="F3" s="88"/>
      <c r="G3" s="88"/>
      <c r="H3" s="88"/>
      <c r="I3" s="88"/>
      <c r="J3" s="88"/>
      <c r="K3" s="88"/>
      <c r="L3" s="88"/>
      <c r="M3" s="89"/>
      <c r="N3" s="57"/>
      <c r="O3" s="83" t="s">
        <v>100</v>
      </c>
      <c r="P3" s="85" t="s">
        <v>106</v>
      </c>
      <c r="Q3" s="61" t="s">
        <v>166</v>
      </c>
    </row>
    <row r="4" spans="1:17" ht="19.5" customHeight="1">
      <c r="A4" s="84"/>
      <c r="B4" s="86"/>
      <c r="C4" s="96"/>
      <c r="D4" s="5" t="s">
        <v>110</v>
      </c>
      <c r="E4" s="5" t="s">
        <v>154</v>
      </c>
      <c r="F4" s="5" t="s">
        <v>155</v>
      </c>
      <c r="G4" s="5" t="s">
        <v>39</v>
      </c>
      <c r="H4" s="5" t="s">
        <v>40</v>
      </c>
      <c r="I4" s="5" t="s">
        <v>156</v>
      </c>
      <c r="J4" s="16" t="s">
        <v>157</v>
      </c>
      <c r="K4" s="17" t="s">
        <v>163</v>
      </c>
      <c r="L4" s="17"/>
      <c r="M4" s="12" t="s">
        <v>115</v>
      </c>
      <c r="N4" s="58"/>
      <c r="O4" s="84"/>
      <c r="P4" s="86"/>
      <c r="Q4" s="62" t="s">
        <v>167</v>
      </c>
    </row>
    <row r="5" spans="1:17" ht="19.5" customHeight="1">
      <c r="A5" s="74" t="s">
        <v>162</v>
      </c>
      <c r="B5" s="90">
        <v>18</v>
      </c>
      <c r="C5" s="80">
        <v>1</v>
      </c>
      <c r="D5" s="6">
        <v>0</v>
      </c>
      <c r="E5" s="6">
        <v>0</v>
      </c>
      <c r="F5" s="6">
        <v>0</v>
      </c>
      <c r="G5" s="6">
        <v>248</v>
      </c>
      <c r="H5" s="6">
        <v>0</v>
      </c>
      <c r="I5" s="6">
        <v>1360</v>
      </c>
      <c r="J5" s="6">
        <v>0</v>
      </c>
      <c r="K5" s="6">
        <v>0</v>
      </c>
      <c r="L5" s="6"/>
      <c r="M5" s="7">
        <f aca="true" t="shared" si="0" ref="M5:M26">SUM(D5:L5)</f>
        <v>1608</v>
      </c>
      <c r="N5" s="59"/>
      <c r="O5" s="74" t="s">
        <v>162</v>
      </c>
      <c r="P5" s="90">
        <f>B5+B34</f>
        <v>62</v>
      </c>
      <c r="Q5" s="7">
        <f aca="true" t="shared" si="1" ref="Q5:Q28">M5+Q34</f>
        <v>1837</v>
      </c>
    </row>
    <row r="6" spans="1:17" ht="19.5" customHeight="1">
      <c r="A6" s="75"/>
      <c r="B6" s="91"/>
      <c r="C6" s="92"/>
      <c r="D6" s="9">
        <v>0</v>
      </c>
      <c r="E6" s="9">
        <v>0</v>
      </c>
      <c r="F6" s="9">
        <v>0</v>
      </c>
      <c r="G6" s="9">
        <v>82</v>
      </c>
      <c r="H6" s="9">
        <v>0</v>
      </c>
      <c r="I6" s="9">
        <v>845</v>
      </c>
      <c r="J6" s="9">
        <v>0</v>
      </c>
      <c r="K6" s="9">
        <v>0</v>
      </c>
      <c r="L6" s="9"/>
      <c r="M6" s="10">
        <f t="shared" si="0"/>
        <v>927</v>
      </c>
      <c r="N6" s="59"/>
      <c r="O6" s="75"/>
      <c r="P6" s="91"/>
      <c r="Q6" s="10">
        <f t="shared" si="1"/>
        <v>969</v>
      </c>
    </row>
    <row r="7" spans="1:17" s="51" customFormat="1" ht="19.5" customHeight="1">
      <c r="A7" s="74" t="s">
        <v>89</v>
      </c>
      <c r="B7" s="90">
        <v>21</v>
      </c>
      <c r="C7" s="80">
        <v>2</v>
      </c>
      <c r="D7" s="6">
        <v>400</v>
      </c>
      <c r="E7" s="6">
        <v>300</v>
      </c>
      <c r="F7" s="6">
        <v>0</v>
      </c>
      <c r="G7" s="6">
        <v>1564</v>
      </c>
      <c r="H7" s="6">
        <v>800</v>
      </c>
      <c r="I7" s="6">
        <v>1144</v>
      </c>
      <c r="J7" s="6">
        <v>0</v>
      </c>
      <c r="K7" s="6">
        <v>0</v>
      </c>
      <c r="L7" s="6"/>
      <c r="M7" s="7">
        <f t="shared" si="0"/>
        <v>4208</v>
      </c>
      <c r="N7" s="60"/>
      <c r="O7" s="74" t="s">
        <v>89</v>
      </c>
      <c r="P7" s="90">
        <f>B7+B36</f>
        <v>21</v>
      </c>
      <c r="Q7" s="7">
        <f t="shared" si="1"/>
        <v>4208</v>
      </c>
    </row>
    <row r="8" spans="1:17" s="51" customFormat="1" ht="19.5" customHeight="1">
      <c r="A8" s="75"/>
      <c r="B8" s="91"/>
      <c r="C8" s="92"/>
      <c r="D8" s="9">
        <v>145</v>
      </c>
      <c r="E8" s="9">
        <v>204</v>
      </c>
      <c r="F8" s="9">
        <v>0</v>
      </c>
      <c r="G8" s="9">
        <v>420</v>
      </c>
      <c r="H8" s="9">
        <v>683</v>
      </c>
      <c r="I8" s="9">
        <v>108</v>
      </c>
      <c r="J8" s="9">
        <v>0</v>
      </c>
      <c r="K8" s="9">
        <v>0</v>
      </c>
      <c r="L8" s="9"/>
      <c r="M8" s="10">
        <f t="shared" si="0"/>
        <v>1560</v>
      </c>
      <c r="N8" s="60"/>
      <c r="O8" s="75"/>
      <c r="P8" s="91"/>
      <c r="Q8" s="10">
        <f t="shared" si="1"/>
        <v>1560</v>
      </c>
    </row>
    <row r="9" spans="1:17" ht="19.5" customHeight="1">
      <c r="A9" s="74" t="s">
        <v>159</v>
      </c>
      <c r="B9" s="90">
        <v>11</v>
      </c>
      <c r="C9" s="80">
        <v>2</v>
      </c>
      <c r="D9" s="6">
        <v>0</v>
      </c>
      <c r="E9" s="6">
        <v>200</v>
      </c>
      <c r="F9" s="6">
        <v>90</v>
      </c>
      <c r="G9" s="6">
        <v>828</v>
      </c>
      <c r="H9" s="6">
        <v>90</v>
      </c>
      <c r="I9" s="6">
        <v>100</v>
      </c>
      <c r="J9" s="6">
        <v>200</v>
      </c>
      <c r="K9" s="6">
        <v>0</v>
      </c>
      <c r="L9" s="6"/>
      <c r="M9" s="7">
        <f t="shared" si="0"/>
        <v>1508</v>
      </c>
      <c r="N9" s="58"/>
      <c r="O9" s="74" t="s">
        <v>159</v>
      </c>
      <c r="P9" s="90">
        <f>B9+B38</f>
        <v>84</v>
      </c>
      <c r="Q9" s="7">
        <f t="shared" si="1"/>
        <v>2069</v>
      </c>
    </row>
    <row r="10" spans="1:17" ht="19.5" customHeight="1">
      <c r="A10" s="75"/>
      <c r="B10" s="91"/>
      <c r="C10" s="92"/>
      <c r="D10" s="9">
        <v>0</v>
      </c>
      <c r="E10" s="9">
        <v>78</v>
      </c>
      <c r="F10" s="9">
        <v>18</v>
      </c>
      <c r="G10" s="9">
        <v>280</v>
      </c>
      <c r="H10" s="9">
        <v>0</v>
      </c>
      <c r="I10" s="9">
        <v>0</v>
      </c>
      <c r="J10" s="9">
        <v>74</v>
      </c>
      <c r="K10" s="9">
        <v>0</v>
      </c>
      <c r="L10" s="9"/>
      <c r="M10" s="10">
        <f t="shared" si="0"/>
        <v>450</v>
      </c>
      <c r="N10" s="58"/>
      <c r="O10" s="75"/>
      <c r="P10" s="91"/>
      <c r="Q10" s="10">
        <f t="shared" si="1"/>
        <v>570</v>
      </c>
    </row>
    <row r="11" spans="1:17" ht="19.5" customHeight="1">
      <c r="A11" s="74" t="s">
        <v>117</v>
      </c>
      <c r="B11" s="90">
        <v>74</v>
      </c>
      <c r="C11" s="80">
        <v>2</v>
      </c>
      <c r="D11" s="6">
        <v>200</v>
      </c>
      <c r="E11" s="6">
        <v>300</v>
      </c>
      <c r="F11" s="6">
        <v>0</v>
      </c>
      <c r="G11" s="6">
        <v>6782</v>
      </c>
      <c r="H11" s="6">
        <v>700</v>
      </c>
      <c r="I11" s="6">
        <v>920</v>
      </c>
      <c r="J11" s="6">
        <v>300</v>
      </c>
      <c r="K11" s="6">
        <v>140</v>
      </c>
      <c r="L11" s="6"/>
      <c r="M11" s="7">
        <f t="shared" si="0"/>
        <v>9342</v>
      </c>
      <c r="N11" s="58"/>
      <c r="O11" s="74" t="s">
        <v>117</v>
      </c>
      <c r="P11" s="90">
        <f>B11+B40</f>
        <v>244</v>
      </c>
      <c r="Q11" s="7">
        <f t="shared" si="1"/>
        <v>11620</v>
      </c>
    </row>
    <row r="12" spans="1:17" ht="19.5" customHeight="1">
      <c r="A12" s="75"/>
      <c r="B12" s="91"/>
      <c r="C12" s="92"/>
      <c r="D12" s="9">
        <v>136</v>
      </c>
      <c r="E12" s="9">
        <v>0</v>
      </c>
      <c r="F12" s="9">
        <v>0</v>
      </c>
      <c r="G12" s="9">
        <v>1756</v>
      </c>
      <c r="H12" s="9">
        <v>140</v>
      </c>
      <c r="I12" s="9">
        <v>326</v>
      </c>
      <c r="J12" s="9">
        <v>0</v>
      </c>
      <c r="K12" s="9">
        <v>33</v>
      </c>
      <c r="L12" s="9"/>
      <c r="M12" s="10">
        <f t="shared" si="0"/>
        <v>2391</v>
      </c>
      <c r="N12" s="58"/>
      <c r="O12" s="75"/>
      <c r="P12" s="91"/>
      <c r="Q12" s="10">
        <f t="shared" si="1"/>
        <v>2966</v>
      </c>
    </row>
    <row r="13" spans="1:17" ht="19.5" customHeight="1">
      <c r="A13" s="74" t="s">
        <v>118</v>
      </c>
      <c r="B13" s="90">
        <v>24</v>
      </c>
      <c r="C13" s="80">
        <v>4</v>
      </c>
      <c r="D13" s="6">
        <v>0</v>
      </c>
      <c r="E13" s="6">
        <v>0</v>
      </c>
      <c r="F13" s="6">
        <v>0</v>
      </c>
      <c r="G13" s="6">
        <v>1226</v>
      </c>
      <c r="H13" s="6">
        <v>0</v>
      </c>
      <c r="I13" s="6">
        <v>0</v>
      </c>
      <c r="J13" s="6">
        <v>0</v>
      </c>
      <c r="K13" s="6">
        <v>710</v>
      </c>
      <c r="L13" s="6"/>
      <c r="M13" s="7">
        <f t="shared" si="0"/>
        <v>1936</v>
      </c>
      <c r="N13" s="58"/>
      <c r="O13" s="74" t="s">
        <v>118</v>
      </c>
      <c r="P13" s="90">
        <f>B13+B42</f>
        <v>102</v>
      </c>
      <c r="Q13" s="7">
        <f t="shared" si="1"/>
        <v>2733</v>
      </c>
    </row>
    <row r="14" spans="1:17" ht="19.5" customHeight="1">
      <c r="A14" s="75"/>
      <c r="B14" s="91"/>
      <c r="C14" s="92"/>
      <c r="D14" s="9">
        <v>0</v>
      </c>
      <c r="E14" s="9">
        <v>0</v>
      </c>
      <c r="F14" s="9">
        <v>0</v>
      </c>
      <c r="G14" s="9">
        <v>106</v>
      </c>
      <c r="H14" s="9">
        <v>0</v>
      </c>
      <c r="I14" s="9">
        <v>0</v>
      </c>
      <c r="J14" s="9">
        <v>0</v>
      </c>
      <c r="K14" s="9">
        <f>148+63</f>
        <v>211</v>
      </c>
      <c r="L14" s="9"/>
      <c r="M14" s="10">
        <f t="shared" si="0"/>
        <v>317</v>
      </c>
      <c r="N14" s="58"/>
      <c r="O14" s="75"/>
      <c r="P14" s="91"/>
      <c r="Q14" s="10">
        <f t="shared" si="1"/>
        <v>382</v>
      </c>
    </row>
    <row r="15" spans="1:17" ht="19.5" customHeight="1">
      <c r="A15" s="74" t="s">
        <v>119</v>
      </c>
      <c r="B15" s="90">
        <v>18</v>
      </c>
      <c r="C15" s="80">
        <v>3</v>
      </c>
      <c r="D15" s="6">
        <v>0</v>
      </c>
      <c r="E15" s="6">
        <v>0</v>
      </c>
      <c r="F15" s="6">
        <v>0</v>
      </c>
      <c r="G15" s="6">
        <v>917</v>
      </c>
      <c r="H15" s="6">
        <v>0</v>
      </c>
      <c r="I15" s="6">
        <v>0</v>
      </c>
      <c r="J15" s="6">
        <v>0</v>
      </c>
      <c r="K15" s="6">
        <v>0</v>
      </c>
      <c r="L15" s="6"/>
      <c r="M15" s="7">
        <f t="shared" si="0"/>
        <v>917</v>
      </c>
      <c r="N15" s="58"/>
      <c r="O15" s="74" t="s">
        <v>119</v>
      </c>
      <c r="P15" s="90">
        <f>B15+B44</f>
        <v>131</v>
      </c>
      <c r="Q15" s="7">
        <f t="shared" si="1"/>
        <v>4054</v>
      </c>
    </row>
    <row r="16" spans="1:17" ht="19.5" customHeight="1">
      <c r="A16" s="75"/>
      <c r="B16" s="91"/>
      <c r="C16" s="92"/>
      <c r="D16" s="9">
        <v>0</v>
      </c>
      <c r="E16" s="9">
        <v>0</v>
      </c>
      <c r="F16" s="9">
        <v>0</v>
      </c>
      <c r="G16" s="9">
        <v>20</v>
      </c>
      <c r="H16" s="9">
        <v>0</v>
      </c>
      <c r="I16" s="9">
        <v>0</v>
      </c>
      <c r="J16" s="9">
        <v>0</v>
      </c>
      <c r="K16" s="9">
        <v>0</v>
      </c>
      <c r="L16" s="9"/>
      <c r="M16" s="10">
        <f t="shared" si="0"/>
        <v>20</v>
      </c>
      <c r="N16" s="58"/>
      <c r="O16" s="75"/>
      <c r="P16" s="91"/>
      <c r="Q16" s="10">
        <f t="shared" si="1"/>
        <v>648</v>
      </c>
    </row>
    <row r="17" spans="1:17" s="51" customFormat="1" ht="19.5" customHeight="1">
      <c r="A17" s="74" t="s">
        <v>101</v>
      </c>
      <c r="B17" s="90">
        <v>14</v>
      </c>
      <c r="C17" s="80">
        <v>4</v>
      </c>
      <c r="D17" s="6">
        <v>0</v>
      </c>
      <c r="E17" s="6">
        <v>50</v>
      </c>
      <c r="F17" s="6">
        <v>420</v>
      </c>
      <c r="G17" s="6">
        <v>1220</v>
      </c>
      <c r="H17" s="6">
        <v>650</v>
      </c>
      <c r="I17" s="6">
        <v>650</v>
      </c>
      <c r="J17" s="6">
        <v>100</v>
      </c>
      <c r="K17" s="6">
        <v>0</v>
      </c>
      <c r="L17" s="6"/>
      <c r="M17" s="7">
        <f t="shared" si="0"/>
        <v>3090</v>
      </c>
      <c r="N17" s="60"/>
      <c r="O17" s="74" t="s">
        <v>101</v>
      </c>
      <c r="P17" s="90">
        <f>B17+B46</f>
        <v>218</v>
      </c>
      <c r="Q17" s="7">
        <f t="shared" si="1"/>
        <v>5933</v>
      </c>
    </row>
    <row r="18" spans="1:17" s="51" customFormat="1" ht="19.5" customHeight="1">
      <c r="A18" s="75"/>
      <c r="B18" s="91"/>
      <c r="C18" s="92"/>
      <c r="D18" s="9">
        <v>0</v>
      </c>
      <c r="E18" s="9">
        <v>18</v>
      </c>
      <c r="F18" s="9">
        <v>163</v>
      </c>
      <c r="G18" s="9">
        <v>176</v>
      </c>
      <c r="H18" s="9">
        <v>148</v>
      </c>
      <c r="I18" s="9">
        <v>97</v>
      </c>
      <c r="J18" s="9">
        <v>78</v>
      </c>
      <c r="K18" s="9">
        <v>0</v>
      </c>
      <c r="L18" s="9"/>
      <c r="M18" s="10">
        <f t="shared" si="0"/>
        <v>680</v>
      </c>
      <c r="N18" s="60"/>
      <c r="O18" s="75"/>
      <c r="P18" s="91"/>
      <c r="Q18" s="10">
        <f t="shared" si="1"/>
        <v>1255</v>
      </c>
    </row>
    <row r="19" spans="1:17" ht="19.5" customHeight="1">
      <c r="A19" s="74" t="s">
        <v>102</v>
      </c>
      <c r="B19" s="90">
        <v>30</v>
      </c>
      <c r="C19" s="80">
        <v>5</v>
      </c>
      <c r="D19" s="6">
        <v>0</v>
      </c>
      <c r="E19" s="6">
        <v>0</v>
      </c>
      <c r="F19" s="6">
        <v>50</v>
      </c>
      <c r="G19" s="6">
        <v>1120</v>
      </c>
      <c r="H19" s="6">
        <v>300</v>
      </c>
      <c r="I19" s="6">
        <v>0</v>
      </c>
      <c r="J19" s="6">
        <v>0</v>
      </c>
      <c r="K19" s="6">
        <v>0</v>
      </c>
      <c r="L19" s="6"/>
      <c r="M19" s="7">
        <f t="shared" si="0"/>
        <v>1470</v>
      </c>
      <c r="O19" s="74" t="s">
        <v>102</v>
      </c>
      <c r="P19" s="90">
        <f>B19+B48</f>
        <v>217</v>
      </c>
      <c r="Q19" s="7">
        <f t="shared" si="1"/>
        <v>3407</v>
      </c>
    </row>
    <row r="20" spans="1:17" ht="19.5" customHeight="1">
      <c r="A20" s="75"/>
      <c r="B20" s="91"/>
      <c r="C20" s="92"/>
      <c r="D20" s="9">
        <v>0</v>
      </c>
      <c r="E20" s="9">
        <v>0</v>
      </c>
      <c r="F20" s="9">
        <v>50</v>
      </c>
      <c r="G20" s="9">
        <v>62</v>
      </c>
      <c r="H20" s="9">
        <v>0</v>
      </c>
      <c r="I20" s="9">
        <v>0</v>
      </c>
      <c r="J20" s="9">
        <v>0</v>
      </c>
      <c r="K20" s="9">
        <v>0</v>
      </c>
      <c r="L20" s="9"/>
      <c r="M20" s="10">
        <f t="shared" si="0"/>
        <v>112</v>
      </c>
      <c r="O20" s="75"/>
      <c r="P20" s="91"/>
      <c r="Q20" s="10">
        <f t="shared" si="1"/>
        <v>440</v>
      </c>
    </row>
    <row r="21" spans="1:17" ht="19.5" customHeight="1">
      <c r="A21" s="74" t="s">
        <v>160</v>
      </c>
      <c r="B21" s="90">
        <v>11</v>
      </c>
      <c r="C21" s="80">
        <v>1</v>
      </c>
      <c r="D21" s="6">
        <v>0</v>
      </c>
      <c r="E21" s="6">
        <v>0</v>
      </c>
      <c r="F21" s="6">
        <v>0</v>
      </c>
      <c r="G21" s="6">
        <v>4302</v>
      </c>
      <c r="H21" s="6">
        <v>0</v>
      </c>
      <c r="I21" s="6">
        <v>0</v>
      </c>
      <c r="J21" s="6">
        <v>0</v>
      </c>
      <c r="K21" s="6">
        <v>0</v>
      </c>
      <c r="L21" s="6"/>
      <c r="M21" s="7">
        <f t="shared" si="0"/>
        <v>4302</v>
      </c>
      <c r="N21" s="103"/>
      <c r="O21" s="74" t="s">
        <v>160</v>
      </c>
      <c r="P21" s="90">
        <f>B21+B50</f>
        <v>12</v>
      </c>
      <c r="Q21" s="7">
        <f t="shared" si="1"/>
        <v>4497</v>
      </c>
    </row>
    <row r="22" spans="1:17" ht="19.5" customHeight="1">
      <c r="A22" s="75"/>
      <c r="B22" s="91"/>
      <c r="C22" s="92"/>
      <c r="D22" s="9">
        <v>0</v>
      </c>
      <c r="E22" s="9">
        <v>0</v>
      </c>
      <c r="F22" s="9">
        <v>0</v>
      </c>
      <c r="G22" s="9">
        <v>748</v>
      </c>
      <c r="H22" s="9">
        <v>0</v>
      </c>
      <c r="I22" s="9">
        <v>0</v>
      </c>
      <c r="J22" s="9">
        <v>0</v>
      </c>
      <c r="K22" s="9">
        <v>0</v>
      </c>
      <c r="L22" s="9"/>
      <c r="M22" s="10">
        <f t="shared" si="0"/>
        <v>748</v>
      </c>
      <c r="N22" s="103"/>
      <c r="O22" s="75"/>
      <c r="P22" s="91"/>
      <c r="Q22" s="10">
        <f t="shared" si="1"/>
        <v>791</v>
      </c>
    </row>
    <row r="23" spans="1:17" ht="19.5" customHeight="1">
      <c r="A23" s="74" t="s">
        <v>161</v>
      </c>
      <c r="B23" s="90">
        <v>50</v>
      </c>
      <c r="C23" s="80">
        <v>6</v>
      </c>
      <c r="D23" s="6">
        <v>500</v>
      </c>
      <c r="E23" s="6">
        <v>0</v>
      </c>
      <c r="F23" s="6">
        <v>300</v>
      </c>
      <c r="G23" s="6">
        <v>1844</v>
      </c>
      <c r="H23" s="6">
        <v>3200</v>
      </c>
      <c r="I23" s="6">
        <v>600</v>
      </c>
      <c r="J23" s="6">
        <v>200</v>
      </c>
      <c r="K23" s="6">
        <v>0</v>
      </c>
      <c r="L23" s="6"/>
      <c r="M23" s="7">
        <f t="shared" si="0"/>
        <v>6644</v>
      </c>
      <c r="O23" s="74" t="s">
        <v>161</v>
      </c>
      <c r="P23" s="90">
        <f>B23+B52</f>
        <v>50</v>
      </c>
      <c r="Q23" s="7">
        <f t="shared" si="1"/>
        <v>6644</v>
      </c>
    </row>
    <row r="24" spans="1:17" ht="19.5" customHeight="1">
      <c r="A24" s="75"/>
      <c r="B24" s="91"/>
      <c r="C24" s="92"/>
      <c r="D24" s="9">
        <f>170+47</f>
        <v>217</v>
      </c>
      <c r="E24" s="9">
        <v>0</v>
      </c>
      <c r="F24" s="9">
        <v>93</v>
      </c>
      <c r="G24" s="9">
        <f>189+213+8+101</f>
        <v>511</v>
      </c>
      <c r="H24" s="9">
        <f>50+1218</f>
        <v>1268</v>
      </c>
      <c r="I24" s="9">
        <f>63+130+209</f>
        <v>402</v>
      </c>
      <c r="J24" s="9">
        <v>0</v>
      </c>
      <c r="K24" s="9">
        <v>0</v>
      </c>
      <c r="L24" s="9"/>
      <c r="M24" s="10">
        <f t="shared" si="0"/>
        <v>2491</v>
      </c>
      <c r="O24" s="75"/>
      <c r="P24" s="91"/>
      <c r="Q24" s="10">
        <f t="shared" si="1"/>
        <v>2491</v>
      </c>
    </row>
    <row r="25" spans="1:17" ht="19.5" customHeight="1">
      <c r="A25" s="74" t="s">
        <v>120</v>
      </c>
      <c r="B25" s="90">
        <v>13</v>
      </c>
      <c r="C25" s="80">
        <v>2</v>
      </c>
      <c r="D25" s="6">
        <v>0</v>
      </c>
      <c r="E25" s="6">
        <v>0</v>
      </c>
      <c r="F25" s="6">
        <v>0</v>
      </c>
      <c r="G25" s="6">
        <v>570</v>
      </c>
      <c r="H25" s="6">
        <v>0</v>
      </c>
      <c r="I25" s="6">
        <v>280</v>
      </c>
      <c r="J25" s="6">
        <v>0</v>
      </c>
      <c r="K25" s="6">
        <v>60</v>
      </c>
      <c r="L25" s="6"/>
      <c r="M25" s="7">
        <f t="shared" si="0"/>
        <v>910</v>
      </c>
      <c r="O25" s="74" t="s">
        <v>120</v>
      </c>
      <c r="P25" s="90">
        <f>B25+B54</f>
        <v>83</v>
      </c>
      <c r="Q25" s="7">
        <f t="shared" si="1"/>
        <v>2455</v>
      </c>
    </row>
    <row r="26" spans="1:17" ht="19.5" customHeight="1">
      <c r="A26" s="75"/>
      <c r="B26" s="91"/>
      <c r="C26" s="92"/>
      <c r="D26" s="9">
        <v>0</v>
      </c>
      <c r="E26" s="9">
        <v>0</v>
      </c>
      <c r="F26" s="9">
        <v>0</v>
      </c>
      <c r="G26" s="9">
        <v>117</v>
      </c>
      <c r="H26" s="9">
        <v>0</v>
      </c>
      <c r="I26" s="9">
        <v>26</v>
      </c>
      <c r="J26" s="9">
        <v>0</v>
      </c>
      <c r="K26" s="9">
        <v>0</v>
      </c>
      <c r="L26" s="9"/>
      <c r="M26" s="10">
        <f t="shared" si="0"/>
        <v>143</v>
      </c>
      <c r="O26" s="75"/>
      <c r="P26" s="91"/>
      <c r="Q26" s="10">
        <f t="shared" si="1"/>
        <v>1111</v>
      </c>
    </row>
    <row r="27" spans="1:17" ht="19.5" customHeight="1">
      <c r="A27" s="74" t="s">
        <v>121</v>
      </c>
      <c r="B27" s="76">
        <f>SUM(B5:B26)</f>
        <v>284</v>
      </c>
      <c r="C27" s="76">
        <f>SUM(C5:C26)</f>
        <v>32</v>
      </c>
      <c r="D27" s="7">
        <f aca="true" t="shared" si="2" ref="D27:J28">D5+D7+D9+D11+D13+D15+D17+D19+D21+D23+D25</f>
        <v>1100</v>
      </c>
      <c r="E27" s="7">
        <f t="shared" si="2"/>
        <v>850</v>
      </c>
      <c r="F27" s="7">
        <f t="shared" si="2"/>
        <v>860</v>
      </c>
      <c r="G27" s="7">
        <f t="shared" si="2"/>
        <v>20621</v>
      </c>
      <c r="H27" s="7">
        <f t="shared" si="2"/>
        <v>5740</v>
      </c>
      <c r="I27" s="7">
        <f t="shared" si="2"/>
        <v>5054</v>
      </c>
      <c r="J27" s="7">
        <f t="shared" si="2"/>
        <v>800</v>
      </c>
      <c r="K27" s="7">
        <f>K5+K7+K9+K11+K13+K15+K17+K19+K21+K23+K25</f>
        <v>910</v>
      </c>
      <c r="L27" s="7"/>
      <c r="M27" s="7">
        <f>SUM(M11+M9+M13+M15+M17+M19+M25+M21+M7+M23+M5)</f>
        <v>35935</v>
      </c>
      <c r="O27" s="74" t="s">
        <v>121</v>
      </c>
      <c r="P27" s="76">
        <f>B27+B56</f>
        <v>1224</v>
      </c>
      <c r="Q27" s="7">
        <f t="shared" si="1"/>
        <v>49457</v>
      </c>
    </row>
    <row r="28" spans="1:17" ht="19.5" customHeight="1">
      <c r="A28" s="75"/>
      <c r="B28" s="77"/>
      <c r="C28" s="77"/>
      <c r="D28" s="8">
        <f t="shared" si="2"/>
        <v>498</v>
      </c>
      <c r="E28" s="8">
        <f t="shared" si="2"/>
        <v>300</v>
      </c>
      <c r="F28" s="8">
        <f t="shared" si="2"/>
        <v>324</v>
      </c>
      <c r="G28" s="8">
        <f t="shared" si="2"/>
        <v>4278</v>
      </c>
      <c r="H28" s="8">
        <f t="shared" si="2"/>
        <v>2239</v>
      </c>
      <c r="I28" s="8">
        <f t="shared" si="2"/>
        <v>1804</v>
      </c>
      <c r="J28" s="8">
        <f t="shared" si="2"/>
        <v>152</v>
      </c>
      <c r="K28" s="8">
        <f>K6+K8+K10+K12+K14+K16+K18+K20+K22+K24+K26</f>
        <v>244</v>
      </c>
      <c r="L28" s="8"/>
      <c r="M28" s="8">
        <f>SUM(M12+M10+M6+M14+M16+M18+M20+M26+M22+M8+M24)</f>
        <v>9839</v>
      </c>
      <c r="O28" s="75"/>
      <c r="P28" s="77"/>
      <c r="Q28" s="8">
        <f t="shared" si="1"/>
        <v>13183</v>
      </c>
    </row>
    <row r="29" spans="1:16" ht="19.5" customHeight="1">
      <c r="A29" s="13"/>
      <c r="B29" s="14"/>
      <c r="C29" s="4"/>
      <c r="D29" s="15"/>
      <c r="E29" s="15"/>
      <c r="F29" s="32"/>
      <c r="G29" s="15"/>
      <c r="H29" s="15"/>
      <c r="I29" s="15"/>
      <c r="J29" s="32"/>
      <c r="K29" s="32"/>
      <c r="L29" s="15"/>
      <c r="M29" s="15"/>
      <c r="N29" s="2"/>
      <c r="O29" s="2"/>
      <c r="P29" s="2"/>
    </row>
    <row r="30" spans="1:16" ht="19.5" customHeight="1">
      <c r="A30" s="13"/>
      <c r="B30" s="14"/>
      <c r="C30" s="4"/>
      <c r="D30" s="15"/>
      <c r="E30" s="15"/>
      <c r="F30" s="32"/>
      <c r="G30" s="15"/>
      <c r="H30" s="15"/>
      <c r="I30" s="15"/>
      <c r="J30" s="32"/>
      <c r="K30" s="32"/>
      <c r="L30" s="15"/>
      <c r="M30" s="15"/>
      <c r="N30" s="2"/>
      <c r="O30" s="2"/>
      <c r="P30" s="2"/>
    </row>
    <row r="31" spans="1:16" ht="19.5" customHeight="1">
      <c r="A31" s="11" t="s">
        <v>122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7" ht="19.5" customHeight="1">
      <c r="A32" s="83" t="s">
        <v>100</v>
      </c>
      <c r="B32" s="85" t="s">
        <v>106</v>
      </c>
      <c r="C32" s="3" t="s">
        <v>107</v>
      </c>
      <c r="D32" s="87" t="s">
        <v>108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9"/>
    </row>
    <row r="33" spans="1:17" ht="19.5" customHeight="1">
      <c r="A33" s="84"/>
      <c r="B33" s="86"/>
      <c r="C33" s="5" t="s">
        <v>109</v>
      </c>
      <c r="D33" s="5" t="s">
        <v>123</v>
      </c>
      <c r="E33" s="5" t="s">
        <v>124</v>
      </c>
      <c r="F33" s="5" t="s">
        <v>125</v>
      </c>
      <c r="G33" s="5" t="s">
        <v>164</v>
      </c>
      <c r="H33" s="5" t="s">
        <v>127</v>
      </c>
      <c r="I33" s="5" t="s">
        <v>128</v>
      </c>
      <c r="J33" s="5" t="s">
        <v>129</v>
      </c>
      <c r="K33" s="5" t="s">
        <v>130</v>
      </c>
      <c r="L33" s="54" t="s">
        <v>95</v>
      </c>
      <c r="M33" s="54" t="s">
        <v>131</v>
      </c>
      <c r="N33" s="54" t="s">
        <v>132</v>
      </c>
      <c r="O33" s="5" t="s">
        <v>133</v>
      </c>
      <c r="P33" s="5" t="s">
        <v>158</v>
      </c>
      <c r="Q33" s="12" t="s">
        <v>115</v>
      </c>
    </row>
    <row r="34" spans="1:17" ht="19.5" customHeight="1">
      <c r="A34" s="74" t="s">
        <v>162</v>
      </c>
      <c r="B34" s="76">
        <v>44</v>
      </c>
      <c r="C34" s="80">
        <v>2</v>
      </c>
      <c r="D34" s="6">
        <v>9</v>
      </c>
      <c r="E34" s="6">
        <v>0</v>
      </c>
      <c r="F34" s="6">
        <v>0</v>
      </c>
      <c r="G34" s="6">
        <v>0</v>
      </c>
      <c r="H34" s="78">
        <v>84</v>
      </c>
      <c r="I34" s="79"/>
      <c r="J34" s="6">
        <v>0</v>
      </c>
      <c r="K34" s="6">
        <v>0</v>
      </c>
      <c r="L34" s="6">
        <v>135</v>
      </c>
      <c r="M34" s="6">
        <v>1</v>
      </c>
      <c r="N34" s="6">
        <v>0</v>
      </c>
      <c r="O34" s="6">
        <v>0</v>
      </c>
      <c r="P34" s="6">
        <v>0</v>
      </c>
      <c r="Q34" s="7">
        <f aca="true" t="shared" si="3" ref="Q34:Q55">SUM(D34:P34)</f>
        <v>229</v>
      </c>
    </row>
    <row r="35" spans="1:17" ht="19.5" customHeight="1">
      <c r="A35" s="75"/>
      <c r="B35" s="77"/>
      <c r="C35" s="81"/>
      <c r="D35" s="9">
        <v>1</v>
      </c>
      <c r="E35" s="9">
        <v>0</v>
      </c>
      <c r="F35" s="9">
        <v>0</v>
      </c>
      <c r="G35" s="9">
        <v>0</v>
      </c>
      <c r="H35" s="9">
        <v>5</v>
      </c>
      <c r="I35" s="46">
        <v>6</v>
      </c>
      <c r="J35" s="9">
        <v>0</v>
      </c>
      <c r="K35" s="9">
        <v>0</v>
      </c>
      <c r="L35" s="9">
        <v>29</v>
      </c>
      <c r="M35" s="9">
        <v>1</v>
      </c>
      <c r="N35" s="9">
        <v>0</v>
      </c>
      <c r="O35" s="9">
        <v>0</v>
      </c>
      <c r="P35" s="9">
        <v>0</v>
      </c>
      <c r="Q35" s="8">
        <f t="shared" si="3"/>
        <v>42</v>
      </c>
    </row>
    <row r="36" spans="1:17" ht="19.5" customHeight="1">
      <c r="A36" s="74" t="s">
        <v>89</v>
      </c>
      <c r="B36" s="76">
        <v>0</v>
      </c>
      <c r="C36" s="80">
        <v>0</v>
      </c>
      <c r="D36" s="6">
        <v>0</v>
      </c>
      <c r="E36" s="6">
        <v>0</v>
      </c>
      <c r="F36" s="6">
        <v>0</v>
      </c>
      <c r="G36" s="6">
        <v>0</v>
      </c>
      <c r="H36" s="78">
        <v>0</v>
      </c>
      <c r="I36" s="79"/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7">
        <f t="shared" si="3"/>
        <v>0</v>
      </c>
    </row>
    <row r="37" spans="1:17" ht="19.5" customHeight="1">
      <c r="A37" s="75"/>
      <c r="B37" s="77"/>
      <c r="C37" s="81"/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46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8">
        <f t="shared" si="3"/>
        <v>0</v>
      </c>
    </row>
    <row r="38" spans="1:17" ht="19.5" customHeight="1">
      <c r="A38" s="74" t="s">
        <v>159</v>
      </c>
      <c r="B38" s="76">
        <v>73</v>
      </c>
      <c r="C38" s="80">
        <v>3</v>
      </c>
      <c r="D38" s="6">
        <v>13</v>
      </c>
      <c r="E38" s="6">
        <v>15</v>
      </c>
      <c r="F38" s="6">
        <v>20</v>
      </c>
      <c r="G38" s="6">
        <v>0</v>
      </c>
      <c r="H38" s="78">
        <v>60</v>
      </c>
      <c r="I38" s="79"/>
      <c r="J38" s="6">
        <v>0</v>
      </c>
      <c r="K38" s="6">
        <v>0</v>
      </c>
      <c r="L38" s="6">
        <v>315</v>
      </c>
      <c r="M38" s="6">
        <v>138</v>
      </c>
      <c r="N38" s="6">
        <v>0</v>
      </c>
      <c r="O38" s="6">
        <v>0</v>
      </c>
      <c r="P38" s="6">
        <v>0</v>
      </c>
      <c r="Q38" s="7">
        <f t="shared" si="3"/>
        <v>561</v>
      </c>
    </row>
    <row r="39" spans="1:17" ht="19.5" customHeight="1">
      <c r="A39" s="75"/>
      <c r="B39" s="77"/>
      <c r="C39" s="81"/>
      <c r="D39" s="9">
        <v>2</v>
      </c>
      <c r="E39" s="9">
        <v>0</v>
      </c>
      <c r="F39" s="9">
        <v>0</v>
      </c>
      <c r="G39" s="9">
        <v>0</v>
      </c>
      <c r="H39" s="9">
        <v>15</v>
      </c>
      <c r="I39" s="46">
        <v>12</v>
      </c>
      <c r="J39" s="9">
        <v>0</v>
      </c>
      <c r="K39" s="9">
        <v>0</v>
      </c>
      <c r="L39" s="9">
        <v>80</v>
      </c>
      <c r="M39" s="9">
        <v>11</v>
      </c>
      <c r="N39" s="9">
        <v>0</v>
      </c>
      <c r="O39" s="9">
        <v>0</v>
      </c>
      <c r="P39" s="9">
        <v>0</v>
      </c>
      <c r="Q39" s="8">
        <f t="shared" si="3"/>
        <v>120</v>
      </c>
    </row>
    <row r="40" spans="1:17" ht="19.5" customHeight="1">
      <c r="A40" s="74" t="s">
        <v>117</v>
      </c>
      <c r="B40" s="76">
        <v>170</v>
      </c>
      <c r="C40" s="80">
        <v>2</v>
      </c>
      <c r="D40" s="6">
        <v>27</v>
      </c>
      <c r="E40" s="6">
        <v>80</v>
      </c>
      <c r="F40" s="6">
        <v>200</v>
      </c>
      <c r="G40" s="6">
        <v>0</v>
      </c>
      <c r="H40" s="78">
        <v>15</v>
      </c>
      <c r="I40" s="79"/>
      <c r="J40" s="6">
        <v>90</v>
      </c>
      <c r="K40" s="6">
        <v>20</v>
      </c>
      <c r="L40" s="6">
        <v>945</v>
      </c>
      <c r="M40" s="6">
        <v>486</v>
      </c>
      <c r="N40" s="6">
        <v>70</v>
      </c>
      <c r="O40" s="6">
        <v>345</v>
      </c>
      <c r="P40" s="6">
        <v>0</v>
      </c>
      <c r="Q40" s="7">
        <f t="shared" si="3"/>
        <v>2278</v>
      </c>
    </row>
    <row r="41" spans="1:17" ht="19.5" customHeight="1">
      <c r="A41" s="75"/>
      <c r="B41" s="77"/>
      <c r="C41" s="81"/>
      <c r="D41" s="9">
        <v>5</v>
      </c>
      <c r="E41" s="9">
        <v>1</v>
      </c>
      <c r="F41" s="9">
        <v>21</v>
      </c>
      <c r="G41" s="9">
        <v>0</v>
      </c>
      <c r="H41" s="9">
        <v>0</v>
      </c>
      <c r="I41" s="46">
        <v>6</v>
      </c>
      <c r="J41" s="9">
        <v>22</v>
      </c>
      <c r="K41" s="9">
        <v>4</v>
      </c>
      <c r="L41" s="9">
        <v>336</v>
      </c>
      <c r="M41" s="9">
        <v>133</v>
      </c>
      <c r="N41" s="9">
        <v>20</v>
      </c>
      <c r="O41" s="9">
        <v>27</v>
      </c>
      <c r="P41" s="9">
        <v>0</v>
      </c>
      <c r="Q41" s="8">
        <f t="shared" si="3"/>
        <v>575</v>
      </c>
    </row>
    <row r="42" spans="1:17" s="51" customFormat="1" ht="19.5" customHeight="1">
      <c r="A42" s="74" t="s">
        <v>118</v>
      </c>
      <c r="B42" s="76">
        <v>78</v>
      </c>
      <c r="C42" s="80">
        <v>4</v>
      </c>
      <c r="D42" s="6">
        <v>3</v>
      </c>
      <c r="E42" s="6">
        <v>0</v>
      </c>
      <c r="F42" s="6">
        <v>0</v>
      </c>
      <c r="G42" s="6">
        <v>0</v>
      </c>
      <c r="H42" s="78">
        <v>90</v>
      </c>
      <c r="I42" s="79"/>
      <c r="J42" s="6">
        <v>27</v>
      </c>
      <c r="K42" s="6">
        <v>0</v>
      </c>
      <c r="L42" s="6">
        <v>419</v>
      </c>
      <c r="M42" s="6">
        <v>158</v>
      </c>
      <c r="N42" s="6">
        <v>0</v>
      </c>
      <c r="O42" s="6">
        <v>100</v>
      </c>
      <c r="P42" s="6">
        <v>0</v>
      </c>
      <c r="Q42" s="7">
        <f t="shared" si="3"/>
        <v>797</v>
      </c>
    </row>
    <row r="43" spans="1:17" s="51" customFormat="1" ht="19.5" customHeight="1">
      <c r="A43" s="75"/>
      <c r="B43" s="77"/>
      <c r="C43" s="81"/>
      <c r="D43" s="9">
        <v>2</v>
      </c>
      <c r="E43" s="9">
        <v>0</v>
      </c>
      <c r="F43" s="9">
        <v>0</v>
      </c>
      <c r="G43" s="9">
        <v>0</v>
      </c>
      <c r="H43" s="9">
        <v>10</v>
      </c>
      <c r="I43" s="46">
        <v>2</v>
      </c>
      <c r="J43" s="9">
        <v>3</v>
      </c>
      <c r="K43" s="9">
        <v>0</v>
      </c>
      <c r="L43" s="9">
        <v>44</v>
      </c>
      <c r="M43" s="9">
        <v>4</v>
      </c>
      <c r="N43" s="9">
        <v>0</v>
      </c>
      <c r="O43" s="9">
        <v>0</v>
      </c>
      <c r="P43" s="9">
        <v>0</v>
      </c>
      <c r="Q43" s="8">
        <f t="shared" si="3"/>
        <v>65</v>
      </c>
    </row>
    <row r="44" spans="1:17" ht="19.5" customHeight="1">
      <c r="A44" s="74" t="s">
        <v>119</v>
      </c>
      <c r="B44" s="76">
        <v>113</v>
      </c>
      <c r="C44" s="80">
        <v>4</v>
      </c>
      <c r="D44" s="6">
        <v>6</v>
      </c>
      <c r="E44" s="6">
        <v>3</v>
      </c>
      <c r="F44" s="6">
        <v>343</v>
      </c>
      <c r="G44" s="6">
        <v>0</v>
      </c>
      <c r="H44" s="78">
        <v>528</v>
      </c>
      <c r="I44" s="79"/>
      <c r="J44" s="6">
        <v>58</v>
      </c>
      <c r="K44" s="6">
        <v>16</v>
      </c>
      <c r="L44" s="6">
        <v>1073</v>
      </c>
      <c r="M44" s="6">
        <v>790</v>
      </c>
      <c r="N44" s="6">
        <v>0</v>
      </c>
      <c r="O44" s="6">
        <v>320</v>
      </c>
      <c r="P44" s="6">
        <v>0</v>
      </c>
      <c r="Q44" s="7">
        <f t="shared" si="3"/>
        <v>3137</v>
      </c>
    </row>
    <row r="45" spans="1:17" ht="19.5" customHeight="1">
      <c r="A45" s="75"/>
      <c r="B45" s="77"/>
      <c r="C45" s="81"/>
      <c r="D45" s="9">
        <v>5</v>
      </c>
      <c r="E45" s="9">
        <v>0</v>
      </c>
      <c r="F45" s="9">
        <v>36</v>
      </c>
      <c r="G45" s="9">
        <v>0</v>
      </c>
      <c r="H45" s="9">
        <v>46</v>
      </c>
      <c r="I45" s="46">
        <v>53</v>
      </c>
      <c r="J45" s="9">
        <v>26</v>
      </c>
      <c r="K45" s="9">
        <v>14</v>
      </c>
      <c r="L45" s="9">
        <v>253</v>
      </c>
      <c r="M45" s="9">
        <v>190</v>
      </c>
      <c r="N45" s="9">
        <v>0</v>
      </c>
      <c r="O45" s="9">
        <v>5</v>
      </c>
      <c r="P45" s="9">
        <v>0</v>
      </c>
      <c r="Q45" s="8">
        <f t="shared" si="3"/>
        <v>628</v>
      </c>
    </row>
    <row r="46" spans="1:17" s="51" customFormat="1" ht="19.5" customHeight="1">
      <c r="A46" s="74" t="s">
        <v>101</v>
      </c>
      <c r="B46" s="76">
        <v>204</v>
      </c>
      <c r="C46" s="80">
        <v>7</v>
      </c>
      <c r="D46" s="6">
        <v>47</v>
      </c>
      <c r="E46" s="6">
        <v>0</v>
      </c>
      <c r="F46" s="6">
        <v>10</v>
      </c>
      <c r="G46" s="6">
        <v>0</v>
      </c>
      <c r="H46" s="78">
        <v>2</v>
      </c>
      <c r="I46" s="79"/>
      <c r="J46" s="6">
        <v>294</v>
      </c>
      <c r="K46" s="6">
        <v>0</v>
      </c>
      <c r="L46" s="6">
        <v>2405</v>
      </c>
      <c r="M46" s="6">
        <v>70</v>
      </c>
      <c r="N46" s="6">
        <v>0</v>
      </c>
      <c r="O46" s="6">
        <v>10</v>
      </c>
      <c r="P46" s="6">
        <v>5</v>
      </c>
      <c r="Q46" s="7">
        <f t="shared" si="3"/>
        <v>2843</v>
      </c>
    </row>
    <row r="47" spans="1:17" s="51" customFormat="1" ht="19.5" customHeight="1">
      <c r="A47" s="75"/>
      <c r="B47" s="77"/>
      <c r="C47" s="81"/>
      <c r="D47" s="9">
        <v>25</v>
      </c>
      <c r="E47" s="9">
        <v>0</v>
      </c>
      <c r="F47" s="9">
        <v>0</v>
      </c>
      <c r="G47" s="9">
        <v>0</v>
      </c>
      <c r="H47" s="9">
        <v>1</v>
      </c>
      <c r="I47" s="46">
        <v>1</v>
      </c>
      <c r="J47" s="9">
        <v>59</v>
      </c>
      <c r="K47" s="9">
        <v>0</v>
      </c>
      <c r="L47" s="9">
        <v>476</v>
      </c>
      <c r="M47" s="9">
        <v>8</v>
      </c>
      <c r="N47" s="9">
        <v>0</v>
      </c>
      <c r="O47" s="9">
        <v>0</v>
      </c>
      <c r="P47" s="9">
        <v>5</v>
      </c>
      <c r="Q47" s="8">
        <f t="shared" si="3"/>
        <v>575</v>
      </c>
    </row>
    <row r="48" spans="1:17" ht="19.5" customHeight="1">
      <c r="A48" s="74" t="s">
        <v>102</v>
      </c>
      <c r="B48" s="76">
        <v>187</v>
      </c>
      <c r="C48" s="80">
        <v>5</v>
      </c>
      <c r="D48" s="6">
        <v>73</v>
      </c>
      <c r="E48" s="6">
        <v>2</v>
      </c>
      <c r="F48" s="6">
        <v>20</v>
      </c>
      <c r="G48" s="6">
        <v>1</v>
      </c>
      <c r="H48" s="78">
        <v>325</v>
      </c>
      <c r="I48" s="82"/>
      <c r="J48" s="6">
        <v>354</v>
      </c>
      <c r="K48" s="6">
        <v>0</v>
      </c>
      <c r="L48" s="6">
        <v>981</v>
      </c>
      <c r="M48" s="6">
        <v>180</v>
      </c>
      <c r="N48" s="6">
        <v>0</v>
      </c>
      <c r="O48" s="6">
        <v>1</v>
      </c>
      <c r="P48" s="6">
        <v>0</v>
      </c>
      <c r="Q48" s="7">
        <f t="shared" si="3"/>
        <v>1937</v>
      </c>
    </row>
    <row r="49" spans="1:17" ht="19.5" customHeight="1">
      <c r="A49" s="75"/>
      <c r="B49" s="77"/>
      <c r="C49" s="81"/>
      <c r="D49" s="9">
        <v>44</v>
      </c>
      <c r="E49" s="9">
        <v>1</v>
      </c>
      <c r="F49" s="9">
        <v>1</v>
      </c>
      <c r="G49" s="9">
        <v>1</v>
      </c>
      <c r="H49" s="9">
        <v>39</v>
      </c>
      <c r="I49" s="46">
        <v>37</v>
      </c>
      <c r="J49" s="9">
        <v>68</v>
      </c>
      <c r="K49" s="9">
        <v>0</v>
      </c>
      <c r="L49" s="9">
        <v>107</v>
      </c>
      <c r="M49" s="9">
        <v>29</v>
      </c>
      <c r="N49" s="9">
        <v>0</v>
      </c>
      <c r="O49" s="9">
        <v>1</v>
      </c>
      <c r="P49" s="9">
        <v>0</v>
      </c>
      <c r="Q49" s="8">
        <f t="shared" si="3"/>
        <v>328</v>
      </c>
    </row>
    <row r="50" spans="1:17" ht="19.5" customHeight="1">
      <c r="A50" s="74" t="s">
        <v>160</v>
      </c>
      <c r="B50" s="76">
        <v>1</v>
      </c>
      <c r="C50" s="80">
        <v>1</v>
      </c>
      <c r="D50" s="6">
        <v>0</v>
      </c>
      <c r="E50" s="6">
        <v>0</v>
      </c>
      <c r="F50" s="6">
        <v>0</v>
      </c>
      <c r="G50" s="6">
        <v>0</v>
      </c>
      <c r="H50" s="78">
        <v>0</v>
      </c>
      <c r="I50" s="79"/>
      <c r="J50" s="6">
        <v>0</v>
      </c>
      <c r="K50" s="6">
        <v>0</v>
      </c>
      <c r="L50" s="6">
        <v>180</v>
      </c>
      <c r="M50" s="6">
        <v>15</v>
      </c>
      <c r="N50" s="6">
        <v>0</v>
      </c>
      <c r="O50" s="6">
        <v>0</v>
      </c>
      <c r="P50" s="6">
        <v>0</v>
      </c>
      <c r="Q50" s="7">
        <f t="shared" si="3"/>
        <v>195</v>
      </c>
    </row>
    <row r="51" spans="1:17" ht="19.5" customHeight="1">
      <c r="A51" s="75"/>
      <c r="B51" s="77"/>
      <c r="C51" s="81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46">
        <v>0</v>
      </c>
      <c r="J51" s="9">
        <v>0</v>
      </c>
      <c r="K51" s="9">
        <v>0</v>
      </c>
      <c r="L51" s="9">
        <v>41</v>
      </c>
      <c r="M51" s="9">
        <v>2</v>
      </c>
      <c r="N51" s="9">
        <v>0</v>
      </c>
      <c r="O51" s="9">
        <v>0</v>
      </c>
      <c r="P51" s="9">
        <v>0</v>
      </c>
      <c r="Q51" s="8">
        <f t="shared" si="3"/>
        <v>43</v>
      </c>
    </row>
    <row r="52" spans="1:17" ht="19.5" customHeight="1">
      <c r="A52" s="74" t="s">
        <v>161</v>
      </c>
      <c r="B52" s="76">
        <v>0</v>
      </c>
      <c r="C52" s="80">
        <v>0</v>
      </c>
      <c r="D52" s="6">
        <v>0</v>
      </c>
      <c r="E52" s="6">
        <v>0</v>
      </c>
      <c r="F52" s="6">
        <v>0</v>
      </c>
      <c r="G52" s="6">
        <v>0</v>
      </c>
      <c r="H52" s="78">
        <v>0</v>
      </c>
      <c r="I52" s="79"/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7">
        <f t="shared" si="3"/>
        <v>0</v>
      </c>
    </row>
    <row r="53" spans="1:17" ht="19.5" customHeight="1">
      <c r="A53" s="75"/>
      <c r="B53" s="77"/>
      <c r="C53" s="81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8">
        <f t="shared" si="3"/>
        <v>0</v>
      </c>
    </row>
    <row r="54" spans="1:17" ht="19.5" customHeight="1">
      <c r="A54" s="74" t="s">
        <v>120</v>
      </c>
      <c r="B54" s="76">
        <v>70</v>
      </c>
      <c r="C54" s="80">
        <v>2</v>
      </c>
      <c r="D54" s="6">
        <v>5</v>
      </c>
      <c r="E54" s="6">
        <v>9</v>
      </c>
      <c r="F54" s="6">
        <v>27</v>
      </c>
      <c r="G54" s="6">
        <v>0</v>
      </c>
      <c r="H54" s="78">
        <v>410</v>
      </c>
      <c r="I54" s="79"/>
      <c r="J54" s="6">
        <v>144</v>
      </c>
      <c r="K54" s="6">
        <v>0</v>
      </c>
      <c r="L54" s="6">
        <v>822</v>
      </c>
      <c r="M54" s="6">
        <v>27</v>
      </c>
      <c r="N54" s="6">
        <v>100</v>
      </c>
      <c r="O54" s="6">
        <v>0</v>
      </c>
      <c r="P54" s="6">
        <v>1</v>
      </c>
      <c r="Q54" s="7">
        <f t="shared" si="3"/>
        <v>1545</v>
      </c>
    </row>
    <row r="55" spans="1:17" ht="19.5" customHeight="1">
      <c r="A55" s="75"/>
      <c r="B55" s="77"/>
      <c r="C55" s="81"/>
      <c r="D55" s="9">
        <v>4</v>
      </c>
      <c r="E55" s="9">
        <v>1</v>
      </c>
      <c r="F55" s="9">
        <v>13</v>
      </c>
      <c r="G55" s="9">
        <v>0</v>
      </c>
      <c r="H55" s="9">
        <v>97</v>
      </c>
      <c r="I55" s="46">
        <v>103</v>
      </c>
      <c r="J55" s="9">
        <v>55</v>
      </c>
      <c r="K55" s="9">
        <v>0</v>
      </c>
      <c r="L55" s="9">
        <v>627</v>
      </c>
      <c r="M55" s="9">
        <v>5</v>
      </c>
      <c r="N55" s="9">
        <v>63</v>
      </c>
      <c r="O55" s="9">
        <v>0</v>
      </c>
      <c r="P55" s="9">
        <v>0</v>
      </c>
      <c r="Q55" s="8">
        <f t="shared" si="3"/>
        <v>968</v>
      </c>
    </row>
    <row r="56" spans="1:17" ht="19.5" customHeight="1">
      <c r="A56" s="74" t="s">
        <v>136</v>
      </c>
      <c r="B56" s="76">
        <f>SUM(B34:B55)</f>
        <v>940</v>
      </c>
      <c r="C56" s="76">
        <f>SUM(C34:C55)</f>
        <v>30</v>
      </c>
      <c r="D56" s="7">
        <f aca="true" t="shared" si="4" ref="D56:H57">D34+D36+D38+D40+D42+D44+D46+D48+D50+D52+D54</f>
        <v>183</v>
      </c>
      <c r="E56" s="7">
        <f t="shared" si="4"/>
        <v>109</v>
      </c>
      <c r="F56" s="7">
        <f t="shared" si="4"/>
        <v>620</v>
      </c>
      <c r="G56" s="7">
        <f t="shared" si="4"/>
        <v>1</v>
      </c>
      <c r="H56" s="78">
        <f t="shared" si="4"/>
        <v>1514</v>
      </c>
      <c r="I56" s="79"/>
      <c r="J56" s="7">
        <f aca="true" t="shared" si="5" ref="J56:P57">J34+J36+J38+J40+J42+J44+J46+J48+J50+J52+J54</f>
        <v>967</v>
      </c>
      <c r="K56" s="7">
        <f t="shared" si="5"/>
        <v>36</v>
      </c>
      <c r="L56" s="7">
        <f t="shared" si="5"/>
        <v>7275</v>
      </c>
      <c r="M56" s="7">
        <f t="shared" si="5"/>
        <v>1865</v>
      </c>
      <c r="N56" s="7">
        <f t="shared" si="5"/>
        <v>170</v>
      </c>
      <c r="O56" s="7">
        <f t="shared" si="5"/>
        <v>776</v>
      </c>
      <c r="P56" s="7">
        <f t="shared" si="5"/>
        <v>6</v>
      </c>
      <c r="Q56" s="7">
        <f>SUM(Q40+Q38+Q42+Q44+Q46+Q48+Q54+Q50+Q36+Q52+Q34)</f>
        <v>13522</v>
      </c>
    </row>
    <row r="57" spans="1:17" ht="19.5" customHeight="1">
      <c r="A57" s="75"/>
      <c r="B57" s="77"/>
      <c r="C57" s="77"/>
      <c r="D57" s="8">
        <f t="shared" si="4"/>
        <v>88</v>
      </c>
      <c r="E57" s="8">
        <f t="shared" si="4"/>
        <v>3</v>
      </c>
      <c r="F57" s="8">
        <f t="shared" si="4"/>
        <v>71</v>
      </c>
      <c r="G57" s="8">
        <f t="shared" si="4"/>
        <v>1</v>
      </c>
      <c r="H57" s="8">
        <f t="shared" si="4"/>
        <v>213</v>
      </c>
      <c r="I57" s="8">
        <f>I35+I37+I39+I41+I43+I45+I47+I49+I51+I53+I55</f>
        <v>220</v>
      </c>
      <c r="J57" s="8">
        <f t="shared" si="5"/>
        <v>233</v>
      </c>
      <c r="K57" s="8">
        <f t="shared" si="5"/>
        <v>18</v>
      </c>
      <c r="L57" s="8">
        <f t="shared" si="5"/>
        <v>1993</v>
      </c>
      <c r="M57" s="8">
        <f t="shared" si="5"/>
        <v>383</v>
      </c>
      <c r="N57" s="8">
        <f t="shared" si="5"/>
        <v>83</v>
      </c>
      <c r="O57" s="8">
        <f t="shared" si="5"/>
        <v>33</v>
      </c>
      <c r="P57" s="8">
        <f t="shared" si="5"/>
        <v>5</v>
      </c>
      <c r="Q57" s="8">
        <f>SUM(Q41+Q39+Q35+Q43+Q45+Q47+Q49+Q55+Q51+Q37+Q53)</f>
        <v>3344</v>
      </c>
    </row>
  </sheetData>
  <sheetProtection/>
  <mergeCells count="118">
    <mergeCell ref="C3:C4"/>
    <mergeCell ref="O25:O26"/>
    <mergeCell ref="P25:P26"/>
    <mergeCell ref="O27:O28"/>
    <mergeCell ref="P27:P28"/>
    <mergeCell ref="O21:O22"/>
    <mergeCell ref="P21:P22"/>
    <mergeCell ref="O23:O24"/>
    <mergeCell ref="P23:P24"/>
    <mergeCell ref="O17:O18"/>
    <mergeCell ref="O11:O12"/>
    <mergeCell ref="P11:P12"/>
    <mergeCell ref="P17:P18"/>
    <mergeCell ref="O19:O20"/>
    <mergeCell ref="P19:P20"/>
    <mergeCell ref="O13:O14"/>
    <mergeCell ref="P13:P14"/>
    <mergeCell ref="O15:O16"/>
    <mergeCell ref="P15:P16"/>
    <mergeCell ref="O9:O10"/>
    <mergeCell ref="P9:P10"/>
    <mergeCell ref="O3:O4"/>
    <mergeCell ref="P3:P4"/>
    <mergeCell ref="O5:O6"/>
    <mergeCell ref="P5:P6"/>
    <mergeCell ref="O7:O8"/>
    <mergeCell ref="P7:P8"/>
    <mergeCell ref="D3:M3"/>
    <mergeCell ref="H56:I56"/>
    <mergeCell ref="H42:I42"/>
    <mergeCell ref="H54:I54"/>
    <mergeCell ref="H50:I50"/>
    <mergeCell ref="H52:I52"/>
    <mergeCell ref="N21:N22"/>
    <mergeCell ref="H48:I48"/>
    <mergeCell ref="H44:I44"/>
    <mergeCell ref="D32:Q32"/>
    <mergeCell ref="H34:I34"/>
    <mergeCell ref="H38:I38"/>
    <mergeCell ref="H40:I40"/>
    <mergeCell ref="H46:I46"/>
    <mergeCell ref="H36:I36"/>
    <mergeCell ref="A3:A4"/>
    <mergeCell ref="B3:B4"/>
    <mergeCell ref="A11:A12"/>
    <mergeCell ref="B11:B12"/>
    <mergeCell ref="A5:A6"/>
    <mergeCell ref="B5:B6"/>
    <mergeCell ref="C11:C12"/>
    <mergeCell ref="A9:A10"/>
    <mergeCell ref="B9:B10"/>
    <mergeCell ref="C9:C10"/>
    <mergeCell ref="C5:C6"/>
    <mergeCell ref="A7:A8"/>
    <mergeCell ref="B7:B8"/>
    <mergeCell ref="C7:C8"/>
    <mergeCell ref="A13:A14"/>
    <mergeCell ref="B13:B14"/>
    <mergeCell ref="C13:C14"/>
    <mergeCell ref="B15:B16"/>
    <mergeCell ref="C15:C16"/>
    <mergeCell ref="A15:A16"/>
    <mergeCell ref="A17:A18"/>
    <mergeCell ref="B17:B18"/>
    <mergeCell ref="C17:C18"/>
    <mergeCell ref="A21:A22"/>
    <mergeCell ref="B21:B22"/>
    <mergeCell ref="C21:C22"/>
    <mergeCell ref="A19:A20"/>
    <mergeCell ref="B19:B20"/>
    <mergeCell ref="C19:C20"/>
    <mergeCell ref="A23:A24"/>
    <mergeCell ref="B23:B24"/>
    <mergeCell ref="C23:C24"/>
    <mergeCell ref="A27:A28"/>
    <mergeCell ref="B27:B28"/>
    <mergeCell ref="C27:C28"/>
    <mergeCell ref="A25:A26"/>
    <mergeCell ref="B25:B26"/>
    <mergeCell ref="C25:C26"/>
    <mergeCell ref="B36:B37"/>
    <mergeCell ref="C36:C37"/>
    <mergeCell ref="A32:A33"/>
    <mergeCell ref="B32:B33"/>
    <mergeCell ref="A40:A41"/>
    <mergeCell ref="B40:B41"/>
    <mergeCell ref="A38:A39"/>
    <mergeCell ref="B38:B39"/>
    <mergeCell ref="A34:A35"/>
    <mergeCell ref="B34:B35"/>
    <mergeCell ref="C46:C47"/>
    <mergeCell ref="A48:A49"/>
    <mergeCell ref="B48:B49"/>
    <mergeCell ref="C34:C35"/>
    <mergeCell ref="A42:A43"/>
    <mergeCell ref="B42:B43"/>
    <mergeCell ref="C42:C43"/>
    <mergeCell ref="C40:C41"/>
    <mergeCell ref="C38:C39"/>
    <mergeCell ref="A36:A37"/>
    <mergeCell ref="A56:A57"/>
    <mergeCell ref="B56:B57"/>
    <mergeCell ref="C56:C57"/>
    <mergeCell ref="B50:B51"/>
    <mergeCell ref="C50:C51"/>
    <mergeCell ref="A44:A45"/>
    <mergeCell ref="B44:B45"/>
    <mergeCell ref="C44:C45"/>
    <mergeCell ref="A46:A47"/>
    <mergeCell ref="B46:B47"/>
    <mergeCell ref="C48:C49"/>
    <mergeCell ref="B54:B55"/>
    <mergeCell ref="C54:C55"/>
    <mergeCell ref="A50:A51"/>
    <mergeCell ref="A52:A53"/>
    <mergeCell ref="B52:B53"/>
    <mergeCell ref="C52:C53"/>
    <mergeCell ref="A54:A55"/>
  </mergeCells>
  <printOptions/>
  <pageMargins left="0.75" right="0.52" top="1" bottom="1" header="0.512" footer="0.51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白岩 光司８６</cp:lastModifiedBy>
  <cp:lastPrinted>2015-11-26T04:19:51Z</cp:lastPrinted>
  <dcterms:created xsi:type="dcterms:W3CDTF">2000-01-27T01:50:33Z</dcterms:created>
  <dcterms:modified xsi:type="dcterms:W3CDTF">2017-01-17T00:24:03Z</dcterms:modified>
  <cp:category/>
  <cp:version/>
  <cp:contentType/>
  <cp:contentStatus/>
</cp:coreProperties>
</file>