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990" activeTab="0"/>
  </bookViews>
  <sheets>
    <sheet name="性別・年齢別対象者数" sheetId="1" r:id="rId1"/>
    <sheet name="対70歳以上人口割合" sheetId="2" r:id="rId2"/>
    <sheet name="健康状態" sheetId="3" r:id="rId3"/>
    <sheet name="不安に感じること" sheetId="4" r:id="rId4"/>
    <sheet name="相談" sheetId="5" r:id="rId5"/>
  </sheets>
  <definedNames>
    <definedName name="_xlfn.COUNTIFS" hidden="1">#NAME?</definedName>
    <definedName name="_xlnm.Print_Area" localSheetId="2">'健康状態'!$B$1:$AB$55</definedName>
    <definedName name="_xlnm.Print_Area" localSheetId="0">'性別・年齢別対象者数'!$B$1:$AB$55</definedName>
    <definedName name="_xlnm.Print_Area" localSheetId="4">'相談'!$B$1:$AN$56</definedName>
    <definedName name="_xlnm.Print_Area" localSheetId="1">'対70歳以上人口割合'!$B$1:$M$58</definedName>
    <definedName name="_xlnm.Print_Area" localSheetId="3">'不安に感じること'!$B$1:$AN$56</definedName>
    <definedName name="_xlnm.Print_Titles" localSheetId="2">'健康状態'!$A:$D</definedName>
    <definedName name="_xlnm.Print_Titles" localSheetId="0">'性別・年齢別対象者数'!$B:$D</definedName>
    <definedName name="_xlnm.Print_Titles" localSheetId="4">'相談'!$B:$D</definedName>
    <definedName name="_xlnm.Print_Titles" localSheetId="3">'不安に感じること'!$B:$D</definedName>
    <definedName name="ﾀｲﾄﾙ列" localSheetId="2">'健康状態'!$B$2:$IV$2</definedName>
    <definedName name="ﾀｲﾄﾙ列" localSheetId="4">'相談'!$B$2:$IV$2</definedName>
    <definedName name="ﾀｲﾄﾙ列" localSheetId="1">'対70歳以上人口割合'!$D$2:$IV$2</definedName>
    <definedName name="ﾀｲﾄﾙ列" localSheetId="3">'不安に感じること'!$B$2:$IV$2</definedName>
    <definedName name="ﾀｲﾄﾙ列">'性別・年齢別対象者数'!$B$2:$IV$2</definedName>
    <definedName name="印刷範囲" localSheetId="2">'健康状態'!$E$1:$I$92</definedName>
    <definedName name="印刷範囲" localSheetId="4">'相談'!$E$1:$K$92</definedName>
    <definedName name="印刷範囲" localSheetId="1">'対70歳以上人口割合'!$B$1:$W$92</definedName>
    <definedName name="印刷範囲" localSheetId="3">'不安に感じること'!$E$1:$I$92</definedName>
    <definedName name="印刷範囲">'性別・年齢別対象者数'!$B$1:$M$92</definedName>
    <definedName name="女" localSheetId="2">'健康状態'!#REF!</definedName>
    <definedName name="女" localSheetId="4">'相談'!#REF!</definedName>
    <definedName name="女" localSheetId="1">'対70歳以上人口割合'!$X$1:$AB$58</definedName>
    <definedName name="女" localSheetId="3">'不安に感じること'!#REF!</definedName>
    <definedName name="女">'性別・年齢別対象者数'!$V$1:$AB$56</definedName>
    <definedName name="男" localSheetId="2">'健康状態'!#REF!</definedName>
    <definedName name="男" localSheetId="4">'相談'!#REF!</definedName>
    <definedName name="男" localSheetId="1">'対70歳以上人口割合'!$Q$1:$W$58</definedName>
    <definedName name="男" localSheetId="3">'不安に感じること'!#REF!</definedName>
    <definedName name="男">'性別・年齢別対象者数'!$O$1:$U$56</definedName>
    <definedName name="男女" localSheetId="2">'健康状態'!$E$1:$L$56</definedName>
    <definedName name="男女" localSheetId="4">'相談'!$E$1:$P$57</definedName>
    <definedName name="男女" localSheetId="1">'対70歳以上人口割合'!$H$1:$N$58</definedName>
    <definedName name="男女" localSheetId="3">'不安に感じること'!$E$1:$P$57</definedName>
    <definedName name="男女">'性別・年齢別対象者数'!$E$1:$N$56</definedName>
    <definedName name="男女１" localSheetId="2">'健康状態'!$E$1:$L$56</definedName>
    <definedName name="男女１" localSheetId="4">'相談'!$E$1:$P$57</definedName>
    <definedName name="男女１" localSheetId="1">'対70歳以上人口割合'!$H$1:$N$58</definedName>
    <definedName name="男女１" localSheetId="3">'不安に感じること'!$E$1:$P$57</definedName>
    <definedName name="男女１">'性別・年齢別対象者数'!$E$1:$N$56</definedName>
    <definedName name="男女２" localSheetId="2">'健康状態'!#REF!</definedName>
    <definedName name="男女２" localSheetId="4">'相談'!#REF!</definedName>
    <definedName name="男女２" localSheetId="1">'対70歳以上人口割合'!$Q$1:$AB$58</definedName>
    <definedName name="男女２" localSheetId="3">'不安に感じること'!#REF!</definedName>
    <definedName name="男女２">'性別・年齢別対象者数'!$O$1:$AB$56</definedName>
  </definedNames>
  <calcPr fullCalcOnLoad="1"/>
</workbook>
</file>

<file path=xl/sharedStrings.xml><?xml version="1.0" encoding="utf-8"?>
<sst xmlns="http://schemas.openxmlformats.org/spreadsheetml/2006/main" count="505" uniqueCount="112">
  <si>
    <t>性別</t>
  </si>
  <si>
    <t>男性</t>
  </si>
  <si>
    <t>女性</t>
  </si>
  <si>
    <t>計</t>
  </si>
  <si>
    <t>以上</t>
  </si>
  <si>
    <t>不明</t>
  </si>
  <si>
    <t>前橋市</t>
  </si>
  <si>
    <t>小計</t>
  </si>
  <si>
    <t>高崎市</t>
  </si>
  <si>
    <t>安中市</t>
  </si>
  <si>
    <t>渋川市</t>
  </si>
  <si>
    <t>榛東村</t>
  </si>
  <si>
    <t>吉岡町</t>
  </si>
  <si>
    <t>藤岡市</t>
  </si>
  <si>
    <t>上野村</t>
  </si>
  <si>
    <t>富岡市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</si>
  <si>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</si>
  <si>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</si>
  <si>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</si>
  <si>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</si>
  <si>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</si>
  <si>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</si>
  <si>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</si>
  <si>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</si>
  <si>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沼田市</t>
  </si>
  <si>
    <t>片品村</t>
  </si>
  <si>
    <t>川場村</t>
  </si>
  <si>
    <t>昭和村</t>
  </si>
  <si>
    <t>伊勢崎市</t>
  </si>
  <si>
    <t>玉村町</t>
  </si>
  <si>
    <t>桐生市</t>
  </si>
  <si>
    <t>太田市</t>
  </si>
  <si>
    <t>館林市</t>
  </si>
  <si>
    <t>板倉町</t>
  </si>
  <si>
    <t>明和町</t>
  </si>
  <si>
    <t>千代田町</t>
  </si>
  <si>
    <t>大泉町</t>
  </si>
  <si>
    <t>邑楽町</t>
  </si>
  <si>
    <t>市計</t>
  </si>
  <si>
    <t>郡計</t>
  </si>
  <si>
    <t>県計</t>
  </si>
  <si>
    <t>～</t>
  </si>
  <si>
    <t>市町村名</t>
  </si>
  <si>
    <t>高崎安中</t>
  </si>
  <si>
    <t>渋川</t>
  </si>
  <si>
    <t>藤岡</t>
  </si>
  <si>
    <t>富岡</t>
  </si>
  <si>
    <t>伊勢崎</t>
  </si>
  <si>
    <t>桐生</t>
  </si>
  <si>
    <t>太田</t>
  </si>
  <si>
    <t>館林</t>
  </si>
  <si>
    <t>対象者の年齢（男性）</t>
  </si>
  <si>
    <t>対象者の年齢（女性）</t>
  </si>
  <si>
    <t>合計</t>
  </si>
  <si>
    <t>全体</t>
  </si>
  <si>
    <t>ほとんど病気もなく健康である。</t>
  </si>
  <si>
    <t>何らかの障害や慢性の病気はあるが、日常生活に支障はなく、交通機関等を利用してひとりで外出する。</t>
  </si>
  <si>
    <t>何らかの障害や慢性の病気はあるが、日常生活に支障はなく、隣近所へなら外出する。</t>
  </si>
  <si>
    <t>家の中での生活はおおむね支障はないが、介助により外出する。</t>
  </si>
  <si>
    <t>家の中での生活はおおむね支障はないが、寝たり起きたりで、介助なしには外出できず外出頻度も少ない。</t>
  </si>
  <si>
    <t>家の中での生活にも何らかの介助が必要で、寝ていることが多い。</t>
  </si>
  <si>
    <t>健康状態（全体）</t>
  </si>
  <si>
    <t>健康状態（男性）</t>
  </si>
  <si>
    <t>健康状態（女性）</t>
  </si>
  <si>
    <t>神流町</t>
  </si>
  <si>
    <t xml:space="preserve">        </t>
  </si>
  <si>
    <t>東吾妻町</t>
  </si>
  <si>
    <t>みなかみ町</t>
  </si>
  <si>
    <t>みどり市</t>
  </si>
  <si>
    <t>日常生活や地域のことで不安に感じることはありますか（全体）</t>
  </si>
  <si>
    <t>日常生活や地域のことで不安に感じることはありますか（男性）</t>
  </si>
  <si>
    <t>日常生活や地域のことで不安に感じることはありますか（女性）</t>
  </si>
  <si>
    <t>健康に関すること</t>
  </si>
  <si>
    <t>体調をくずした時の身の回りのこと</t>
  </si>
  <si>
    <t>出かける時の交通手段のこと</t>
  </si>
  <si>
    <t>災害時のこと</t>
  </si>
  <si>
    <t>防犯についてのこと</t>
  </si>
  <si>
    <t>金銭面でのこと</t>
  </si>
  <si>
    <t>身近に相談相手がいないこと</t>
  </si>
  <si>
    <t>人との付き合いがうまくいっていないこと</t>
  </si>
  <si>
    <t>特にない</t>
  </si>
  <si>
    <t>その他</t>
  </si>
  <si>
    <t>無回答</t>
  </si>
  <si>
    <t>相談できる人はいますか（全体）</t>
  </si>
  <si>
    <t>相談できる人はいますか（男性）</t>
  </si>
  <si>
    <t>相談できる人はいますか（女性）</t>
  </si>
  <si>
    <t>子ども</t>
  </si>
  <si>
    <t>兄弟・姉妹</t>
  </si>
  <si>
    <t>親族</t>
  </si>
  <si>
    <t>隣近所の人</t>
  </si>
  <si>
    <t>友人・知人</t>
  </si>
  <si>
    <t>民生委員など地区の委員</t>
  </si>
  <si>
    <t>市町村担当職員</t>
  </si>
  <si>
    <t>地域包括支援センター・高齢者総合相談センター</t>
  </si>
  <si>
    <t>相談できる人はいない</t>
  </si>
  <si>
    <t>地域</t>
  </si>
  <si>
    <t>吾妻</t>
  </si>
  <si>
    <t>利根
沼田</t>
  </si>
  <si>
    <t>平成２９年度ひとり暮らし高齢者基礎調査集計表（性別・年齢別対象者数）</t>
  </si>
  <si>
    <t>平成２９年度ひとり暮らし高齢者基礎調査集計表（健康状態）</t>
  </si>
  <si>
    <t>平成２９年度ひとり暮らし高齢者基礎調査集計結果表（日常生活や地域のことで不安に感じることはありますか）</t>
  </si>
  <si>
    <t>平成２９年度ひとり暮らし高齢者基礎調査集計結果表（相談できる人はいますか）</t>
  </si>
  <si>
    <t>男</t>
  </si>
  <si>
    <t>女</t>
  </si>
  <si>
    <t>平成２９年度ひとり暮らし高齢者基礎調査集計表（対７０歳以上人口比率）</t>
  </si>
  <si>
    <t>注）７０歳以上人口は「群馬県年齢別人口統計調査」（平成２９年１０月１日現在）</t>
  </si>
  <si>
    <t>７０歳以上人口</t>
  </si>
  <si>
    <t>７０歳以上ひとり暮らし人口</t>
  </si>
  <si>
    <t>７０歳以上ひとり暮らし人口割合</t>
  </si>
  <si>
    <t>演算</t>
  </si>
  <si>
    <t>70歳～</t>
  </si>
  <si>
    <t>（※複数回答あり）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</si>
</sst>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0;\-"/>
    <numFmt numFmtId="179" formatCode="0;0;\-"/>
    <numFmt numFmtId="180" formatCode="#,##0.0;[Red]\-#,##0.0"/>
    <numFmt numFmtId="181" formatCode="#,##0.000;[Red]\-#,##0.000"/>
    <numFmt numFmtId="182" formatCode="0.0_ "/>
    <numFmt numFmtId="183" formatCode="#,##0.0000000000000_ ;[Red]\-#,##0.0000000000000\ "/>
    <numFmt numFmtId="184" formatCode="0.0"/>
    <numFmt numFmtId="185" formatCode="#,##0.0_);\(#,##0.0\)"/>
    <numFmt numFmtId="186" formatCode="_ * #,##0.0_ ;_ * \-#,##0.0_ ;_ * &quot;-&quot;?_ ;_ @_ "/>
    <numFmt numFmtId="187" formatCode="_ * #,##0.0_ ;_ * \-#,##0.0_ ;_ * &quot;-&quot;??_ ;_ @_ "/>
    <numFmt numFmtId="188" formatCode="_ * #,##0_ ;_ * \-#,##0_ ;_ * &quot;-&quot;??_ ;_ @_ "/>
    <numFmt numFmtId="189" formatCode="_ * #,##0.000_ ;_ * \-#,##0.000_ ;_ * &quot;-&quot;??_ ;_ @_ "/>
    <numFmt numFmtId="190" formatCode="0.0_);[Red]\(0.0\)"/>
    <numFmt numFmtId="191" formatCode="0.000"/>
    <numFmt numFmtId="192" formatCode="0.0000"/>
    <numFmt numFmtId="193" formatCode="#,##0.0000;[Red]\-#,##0.0000"/>
    <numFmt numFmtId="194" formatCode="#,##0.00000;[Red]\-#,##0.00000"/>
    <numFmt numFmtId="195" formatCode="0.00000"/>
    <numFmt numFmtId="196" formatCode="#,##0_);\(#,##0\)"/>
    <numFmt numFmtId="197" formatCode="#,##0.00_);\(#,##0.00\)"/>
    <numFmt numFmtId="198" formatCode="#,##0.000_);\(#,##0.000\)"/>
    <numFmt numFmtId="199" formatCode="#,##0.0000_);\(#,##0.0000\)"/>
    <numFmt numFmtId="200" formatCode="#,##0.00000_);\(#,##0.00000\)"/>
    <numFmt numFmtId="201" formatCode="#,##0_ "/>
    <numFmt numFmtId="202" formatCode="#,##0.0_ ;[Red]\-#,##0.0\ "/>
    <numFmt numFmtId="203" formatCode="#,##0.000_ "/>
    <numFmt numFmtId="204" formatCode="#,##0.0_ "/>
    <numFmt numFmtId="205" formatCode="0.0%"/>
    <numFmt numFmtId="206" formatCode="#,##0.00_ "/>
    <numFmt numFmtId="207" formatCode="0_ "/>
    <numFmt numFmtId="208" formatCode="&quot;¥&quot;#,##0_);[Red]\(&quot;¥&quot;#,##0\)"/>
    <numFmt numFmtId="209" formatCode="#,##0_);[Red]\(#,##0\)"/>
    <numFmt numFmtId="210" formatCode="#,##0_ ;[Red]\-#,##0\ 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47">
    <xf numFmtId="0" fontId="0" fillId="0" borderId="0" xfId="0" applyFont="1" applyAlignment="1">
      <alignment/>
    </xf>
    <xf numFmtId="201" fontId="5" fillId="0" borderId="0" xfId="49" applyNumberFormat="1" applyFont="1" applyBorder="1" applyAlignment="1">
      <alignment horizontal="center" vertical="center"/>
    </xf>
    <xf numFmtId="201" fontId="5" fillId="0" borderId="0" xfId="49" applyNumberFormat="1" applyFont="1" applyBorder="1" applyAlignment="1">
      <alignment horizontal="distributed" vertical="center"/>
    </xf>
    <xf numFmtId="201" fontId="5" fillId="0" borderId="0" xfId="49" applyNumberFormat="1" applyFont="1" applyBorder="1" applyAlignment="1">
      <alignment horizontal="left" vertical="center"/>
    </xf>
    <xf numFmtId="201" fontId="5" fillId="0" borderId="0" xfId="49" applyNumberFormat="1" applyFont="1" applyBorder="1" applyAlignment="1">
      <alignment vertical="center"/>
    </xf>
    <xf numFmtId="201" fontId="5" fillId="0" borderId="0" xfId="49" applyNumberFormat="1" applyFont="1" applyBorder="1" applyAlignment="1">
      <alignment horizontal="left"/>
    </xf>
    <xf numFmtId="201" fontId="5" fillId="0" borderId="0" xfId="49" applyNumberFormat="1" applyFont="1" applyBorder="1" applyAlignment="1">
      <alignment/>
    </xf>
    <xf numFmtId="201" fontId="5" fillId="0" borderId="0" xfId="49" applyNumberFormat="1" applyFont="1" applyFill="1" applyBorder="1" applyAlignment="1">
      <alignment/>
    </xf>
    <xf numFmtId="201" fontId="5" fillId="0" borderId="0" xfId="49" applyNumberFormat="1" applyFont="1" applyBorder="1" applyAlignment="1">
      <alignment shrinkToFit="1"/>
    </xf>
    <xf numFmtId="201" fontId="5" fillId="0" borderId="0" xfId="49" applyNumberFormat="1" applyFont="1" applyFill="1" applyBorder="1" applyAlignment="1">
      <alignment shrinkToFit="1"/>
    </xf>
    <xf numFmtId="38" fontId="11" fillId="0" borderId="10" xfId="49" applyFont="1" applyBorder="1" applyAlignment="1">
      <alignment horizontal="right" vertical="center" shrinkToFit="1"/>
    </xf>
    <xf numFmtId="38" fontId="11" fillId="0" borderId="11" xfId="49" applyFont="1" applyBorder="1" applyAlignment="1">
      <alignment vertical="center" shrinkToFit="1"/>
    </xf>
    <xf numFmtId="38" fontId="11" fillId="0" borderId="11" xfId="49" applyFont="1" applyBorder="1" applyAlignment="1" applyProtection="1">
      <alignment vertical="center" shrinkToFit="1"/>
      <protection locked="0"/>
    </xf>
    <xf numFmtId="38" fontId="11" fillId="0" borderId="12" xfId="49" applyFont="1" applyBorder="1" applyAlignment="1" applyProtection="1">
      <alignment vertical="center" shrinkToFit="1"/>
      <protection locked="0"/>
    </xf>
    <xf numFmtId="38" fontId="11" fillId="0" borderId="13" xfId="49" applyFont="1" applyBorder="1" applyAlignment="1" applyProtection="1">
      <alignment vertical="center" shrinkToFit="1"/>
      <protection locked="0"/>
    </xf>
    <xf numFmtId="201" fontId="5" fillId="0" borderId="0" xfId="49" applyNumberFormat="1" applyFont="1" applyBorder="1" applyAlignment="1">
      <alignment horizontal="center" vertical="center" shrinkToFit="1"/>
    </xf>
    <xf numFmtId="201" fontId="5" fillId="0" borderId="0" xfId="49" applyNumberFormat="1" applyFont="1" applyBorder="1" applyAlignment="1">
      <alignment horizontal="distributed" vertical="center" shrinkToFit="1"/>
    </xf>
    <xf numFmtId="201" fontId="5" fillId="0" borderId="0" xfId="49" applyNumberFormat="1" applyFont="1" applyBorder="1" applyAlignment="1">
      <alignment vertical="center" shrinkToFit="1"/>
    </xf>
    <xf numFmtId="38" fontId="11" fillId="0" borderId="11" xfId="49" applyFont="1" applyBorder="1" applyAlignment="1">
      <alignment horizontal="right" vertical="center" shrinkToFit="1"/>
    </xf>
    <xf numFmtId="38" fontId="11" fillId="0" borderId="14" xfId="49" applyFont="1" applyBorder="1" applyAlignment="1">
      <alignment horizontal="right" vertical="center" shrinkToFit="1"/>
    </xf>
    <xf numFmtId="0" fontId="5" fillId="0" borderId="15" xfId="49" applyNumberFormat="1" applyFont="1" applyBorder="1" applyAlignment="1">
      <alignment horizontal="center" vertical="center"/>
    </xf>
    <xf numFmtId="0" fontId="5" fillId="0" borderId="16" xfId="49" applyNumberFormat="1" applyFont="1" applyBorder="1" applyAlignment="1">
      <alignment horizontal="center" vertical="center"/>
    </xf>
    <xf numFmtId="0" fontId="5" fillId="0" borderId="17" xfId="49" applyNumberFormat="1" applyFont="1" applyBorder="1" applyAlignment="1">
      <alignment horizontal="center" vertical="center"/>
    </xf>
    <xf numFmtId="0" fontId="5" fillId="0" borderId="18" xfId="49" applyNumberFormat="1" applyFont="1" applyBorder="1" applyAlignment="1">
      <alignment horizontal="center" vertical="center"/>
    </xf>
    <xf numFmtId="201" fontId="9" fillId="0" borderId="0" xfId="49" applyNumberFormat="1" applyFont="1" applyFill="1" applyBorder="1" applyAlignment="1">
      <alignment horizontal="left" vertical="center"/>
    </xf>
    <xf numFmtId="201" fontId="5" fillId="0" borderId="0" xfId="49" applyNumberFormat="1" applyFont="1" applyFill="1" applyBorder="1" applyAlignment="1">
      <alignment horizontal="distributed" vertical="center"/>
    </xf>
    <xf numFmtId="201" fontId="10" fillId="0" borderId="0" xfId="49" applyNumberFormat="1" applyFont="1" applyFill="1" applyBorder="1" applyAlignment="1">
      <alignment horizontal="left" vertical="center"/>
    </xf>
    <xf numFmtId="201" fontId="5" fillId="0" borderId="0" xfId="49" applyNumberFormat="1" applyFont="1" applyFill="1" applyBorder="1" applyAlignment="1">
      <alignment horizontal="left" vertical="center"/>
    </xf>
    <xf numFmtId="201" fontId="5" fillId="0" borderId="0" xfId="49" applyNumberFormat="1" applyFont="1" applyFill="1" applyBorder="1" applyAlignment="1">
      <alignment vertical="center"/>
    </xf>
    <xf numFmtId="201" fontId="5" fillId="0" borderId="0" xfId="49" applyNumberFormat="1" applyFont="1" applyFill="1" applyBorder="1" applyAlignment="1">
      <alignment horizontal="left"/>
    </xf>
    <xf numFmtId="201" fontId="4" fillId="0" borderId="0" xfId="49" applyNumberFormat="1" applyFont="1" applyFill="1" applyBorder="1" applyAlignment="1">
      <alignment horizontal="left" vertical="center"/>
    </xf>
    <xf numFmtId="0" fontId="11" fillId="0" borderId="19" xfId="49" applyNumberFormat="1" applyFont="1" applyFill="1" applyBorder="1" applyAlignment="1">
      <alignment horizontal="center" vertical="center"/>
    </xf>
    <xf numFmtId="0" fontId="11" fillId="0" borderId="15" xfId="49" applyNumberFormat="1" applyFont="1" applyFill="1" applyBorder="1" applyAlignment="1">
      <alignment horizontal="center" vertical="center"/>
    </xf>
    <xf numFmtId="0" fontId="11" fillId="0" borderId="20" xfId="49" applyNumberFormat="1" applyFont="1" applyFill="1" applyBorder="1" applyAlignment="1">
      <alignment horizontal="center" vertical="center"/>
    </xf>
    <xf numFmtId="0" fontId="11" fillId="0" borderId="17" xfId="49" applyNumberFormat="1" applyFont="1" applyFill="1" applyBorder="1" applyAlignment="1">
      <alignment horizontal="center" vertical="center"/>
    </xf>
    <xf numFmtId="0" fontId="11" fillId="0" borderId="21" xfId="49" applyNumberFormat="1" applyFont="1" applyFill="1" applyBorder="1" applyAlignment="1">
      <alignment horizontal="center" vertical="center"/>
    </xf>
    <xf numFmtId="0" fontId="5" fillId="0" borderId="22" xfId="49" applyNumberFormat="1" applyFont="1" applyFill="1" applyBorder="1" applyAlignment="1">
      <alignment horizontal="center" vertical="center"/>
    </xf>
    <xf numFmtId="0" fontId="5" fillId="0" borderId="15" xfId="49" applyNumberFormat="1" applyFont="1" applyFill="1" applyBorder="1" applyAlignment="1">
      <alignment horizontal="center" vertical="center"/>
    </xf>
    <xf numFmtId="0" fontId="5" fillId="0" borderId="16" xfId="49" applyNumberFormat="1" applyFont="1" applyFill="1" applyBorder="1" applyAlignment="1">
      <alignment horizontal="center" vertical="center"/>
    </xf>
    <xf numFmtId="0" fontId="5" fillId="0" borderId="21" xfId="49" applyNumberFormat="1" applyFont="1" applyFill="1" applyBorder="1" applyAlignment="1">
      <alignment horizontal="center" vertical="center"/>
    </xf>
    <xf numFmtId="0" fontId="5" fillId="0" borderId="20" xfId="49" applyNumberFormat="1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vertical="center" shrinkToFit="1"/>
    </xf>
    <xf numFmtId="38" fontId="11" fillId="0" borderId="24" xfId="49" applyFont="1" applyFill="1" applyBorder="1" applyAlignment="1">
      <alignment vertical="center" shrinkToFit="1"/>
    </xf>
    <xf numFmtId="38" fontId="11" fillId="0" borderId="25" xfId="49" applyFont="1" applyFill="1" applyBorder="1" applyAlignment="1">
      <alignment vertical="center" shrinkToFit="1"/>
    </xf>
    <xf numFmtId="38" fontId="11" fillId="0" borderId="24" xfId="49" applyFont="1" applyFill="1" applyBorder="1" applyAlignment="1" applyProtection="1">
      <alignment vertical="center" shrinkToFit="1"/>
      <protection locked="0"/>
    </xf>
    <xf numFmtId="38" fontId="11" fillId="0" borderId="26" xfId="49" applyFont="1" applyFill="1" applyBorder="1" applyAlignment="1" applyProtection="1">
      <alignment vertical="center" shrinkToFit="1"/>
      <protection locked="0"/>
    </xf>
    <xf numFmtId="38" fontId="11" fillId="0" borderId="27" xfId="49" applyFont="1" applyFill="1" applyBorder="1" applyAlignment="1" applyProtection="1">
      <alignment vertical="center" shrinkToFit="1"/>
      <protection locked="0"/>
    </xf>
    <xf numFmtId="38" fontId="11" fillId="0" borderId="28" xfId="49" applyFont="1" applyFill="1" applyBorder="1" applyAlignment="1">
      <alignment vertical="center" shrinkToFit="1"/>
    </xf>
    <xf numFmtId="38" fontId="11" fillId="0" borderId="29" xfId="49" applyFont="1" applyFill="1" applyBorder="1" applyAlignment="1">
      <alignment vertical="center" shrinkToFit="1"/>
    </xf>
    <xf numFmtId="38" fontId="11" fillId="0" borderId="30" xfId="49" applyFont="1" applyFill="1" applyBorder="1" applyAlignment="1">
      <alignment vertical="center" shrinkToFit="1"/>
    </xf>
    <xf numFmtId="38" fontId="11" fillId="0" borderId="29" xfId="49" applyFont="1" applyFill="1" applyBorder="1" applyAlignment="1" applyProtection="1">
      <alignment vertical="center" shrinkToFit="1"/>
      <protection locked="0"/>
    </xf>
    <xf numFmtId="38" fontId="11" fillId="0" borderId="31" xfId="49" applyFont="1" applyFill="1" applyBorder="1" applyAlignment="1" applyProtection="1">
      <alignment vertical="center" shrinkToFit="1"/>
      <protection locked="0"/>
    </xf>
    <xf numFmtId="38" fontId="11" fillId="0" borderId="32" xfId="49" applyFont="1" applyFill="1" applyBorder="1" applyAlignment="1">
      <alignment vertical="center" shrinkToFit="1"/>
    </xf>
    <xf numFmtId="38" fontId="11" fillId="0" borderId="33" xfId="49" applyFont="1" applyFill="1" applyBorder="1" applyAlignment="1">
      <alignment vertical="center" shrinkToFit="1"/>
    </xf>
    <xf numFmtId="38" fontId="11" fillId="0" borderId="32" xfId="49" applyFont="1" applyFill="1" applyBorder="1" applyAlignment="1" applyProtection="1">
      <alignment vertical="center" shrinkToFit="1"/>
      <protection locked="0"/>
    </xf>
    <xf numFmtId="38" fontId="11" fillId="0" borderId="34" xfId="49" applyFont="1" applyFill="1" applyBorder="1" applyAlignment="1" applyProtection="1">
      <alignment vertical="center" shrinkToFit="1"/>
      <protection locked="0"/>
    </xf>
    <xf numFmtId="38" fontId="11" fillId="0" borderId="35" xfId="49" applyFont="1" applyFill="1" applyBorder="1" applyAlignment="1" applyProtection="1">
      <alignment vertical="center" shrinkToFit="1"/>
      <protection locked="0"/>
    </xf>
    <xf numFmtId="38" fontId="11" fillId="0" borderId="36" xfId="49" applyFont="1" applyFill="1" applyBorder="1" applyAlignment="1" applyProtection="1">
      <alignment vertical="center" shrinkToFit="1"/>
      <protection locked="0"/>
    </xf>
    <xf numFmtId="38" fontId="11" fillId="0" borderId="37" xfId="49" applyFont="1" applyFill="1" applyBorder="1" applyAlignment="1">
      <alignment vertical="center" shrinkToFit="1"/>
    </xf>
    <xf numFmtId="38" fontId="11" fillId="0" borderId="38" xfId="49" applyFont="1" applyFill="1" applyBorder="1" applyAlignment="1">
      <alignment vertical="center" shrinkToFit="1"/>
    </xf>
    <xf numFmtId="38" fontId="11" fillId="0" borderId="39" xfId="49" applyFont="1" applyFill="1" applyBorder="1" applyAlignment="1">
      <alignment vertical="center" shrinkToFit="1"/>
    </xf>
    <xf numFmtId="38" fontId="11" fillId="0" borderId="38" xfId="49" applyFont="1" applyFill="1" applyBorder="1" applyAlignment="1" applyProtection="1">
      <alignment vertical="center" shrinkToFit="1"/>
      <protection locked="0"/>
    </xf>
    <xf numFmtId="38" fontId="11" fillId="0" borderId="40" xfId="49" applyFont="1" applyFill="1" applyBorder="1" applyAlignment="1" applyProtection="1">
      <alignment vertical="center" shrinkToFit="1"/>
      <protection locked="0"/>
    </xf>
    <xf numFmtId="38" fontId="11" fillId="0" borderId="41" xfId="49" applyFont="1" applyFill="1" applyBorder="1" applyAlignment="1">
      <alignment vertical="center" shrinkToFit="1"/>
    </xf>
    <xf numFmtId="38" fontId="11" fillId="0" borderId="34" xfId="49" applyFont="1" applyFill="1" applyBorder="1" applyAlignment="1">
      <alignment vertical="center" shrinkToFit="1"/>
    </xf>
    <xf numFmtId="38" fontId="11" fillId="0" borderId="42" xfId="49" applyFont="1" applyFill="1" applyBorder="1" applyAlignment="1">
      <alignment vertical="center" shrinkToFit="1"/>
    </xf>
    <xf numFmtId="38" fontId="11" fillId="0" borderId="43" xfId="49" applyFont="1" applyFill="1" applyBorder="1" applyAlignment="1" applyProtection="1">
      <alignment vertical="center" shrinkToFit="1"/>
      <protection locked="0"/>
    </xf>
    <xf numFmtId="38" fontId="11" fillId="0" borderId="44" xfId="49" applyFont="1" applyFill="1" applyBorder="1" applyAlignment="1" applyProtection="1">
      <alignment vertical="center" shrinkToFit="1"/>
      <protection locked="0"/>
    </xf>
    <xf numFmtId="38" fontId="11" fillId="0" borderId="45" xfId="49" applyFont="1" applyFill="1" applyBorder="1" applyAlignment="1">
      <alignment vertical="center" shrinkToFit="1"/>
    </xf>
    <xf numFmtId="38" fontId="11" fillId="0" borderId="46" xfId="49" applyFont="1" applyFill="1" applyBorder="1" applyAlignment="1">
      <alignment vertical="center" shrinkToFit="1"/>
    </xf>
    <xf numFmtId="38" fontId="11" fillId="0" borderId="47" xfId="49" applyFont="1" applyFill="1" applyBorder="1" applyAlignment="1">
      <alignment vertical="center" shrinkToFit="1"/>
    </xf>
    <xf numFmtId="38" fontId="11" fillId="0" borderId="48" xfId="49" applyFont="1" applyFill="1" applyBorder="1" applyAlignment="1">
      <alignment vertical="center" shrinkToFit="1"/>
    </xf>
    <xf numFmtId="38" fontId="11" fillId="0" borderId="49" xfId="49" applyFont="1" applyFill="1" applyBorder="1" applyAlignment="1">
      <alignment vertical="center" shrinkToFit="1"/>
    </xf>
    <xf numFmtId="38" fontId="11" fillId="0" borderId="50" xfId="49" applyFont="1" applyFill="1" applyBorder="1" applyAlignment="1" applyProtection="1">
      <alignment vertical="center" shrinkToFit="1"/>
      <protection locked="0"/>
    </xf>
    <xf numFmtId="38" fontId="11" fillId="0" borderId="31" xfId="49" applyFont="1" applyFill="1" applyBorder="1" applyAlignment="1">
      <alignment vertical="center" shrinkToFit="1"/>
    </xf>
    <xf numFmtId="38" fontId="11" fillId="0" borderId="46" xfId="49" applyFont="1" applyFill="1" applyBorder="1" applyAlignment="1" applyProtection="1">
      <alignment vertical="center" shrinkToFit="1"/>
      <protection locked="0"/>
    </xf>
    <xf numFmtId="38" fontId="11" fillId="0" borderId="48" xfId="49" applyFont="1" applyFill="1" applyBorder="1" applyAlignment="1" applyProtection="1">
      <alignment vertical="center" shrinkToFit="1"/>
      <protection locked="0"/>
    </xf>
    <xf numFmtId="38" fontId="11" fillId="0" borderId="49" xfId="49" applyFont="1" applyFill="1" applyBorder="1" applyAlignment="1" applyProtection="1">
      <alignment vertical="center" shrinkToFit="1"/>
      <protection locked="0"/>
    </xf>
    <xf numFmtId="38" fontId="11" fillId="0" borderId="51" xfId="49" applyFont="1" applyFill="1" applyBorder="1" applyAlignment="1">
      <alignment vertical="center" shrinkToFit="1"/>
    </xf>
    <xf numFmtId="38" fontId="11" fillId="0" borderId="52" xfId="49" applyFont="1" applyFill="1" applyBorder="1" applyAlignment="1">
      <alignment vertical="center" shrinkToFit="1"/>
    </xf>
    <xf numFmtId="38" fontId="11" fillId="0" borderId="53" xfId="49" applyFont="1" applyFill="1" applyBorder="1" applyAlignment="1">
      <alignment vertical="center" shrinkToFit="1"/>
    </xf>
    <xf numFmtId="38" fontId="11" fillId="0" borderId="54" xfId="49" applyFont="1" applyFill="1" applyBorder="1" applyAlignment="1" applyProtection="1">
      <alignment vertical="center" shrinkToFit="1"/>
      <protection locked="0"/>
    </xf>
    <xf numFmtId="38" fontId="11" fillId="0" borderId="55" xfId="49" applyFont="1" applyFill="1" applyBorder="1" applyAlignment="1" applyProtection="1">
      <alignment vertical="center" shrinkToFit="1"/>
      <protection locked="0"/>
    </xf>
    <xf numFmtId="38" fontId="11" fillId="0" borderId="56" xfId="49" applyFont="1" applyFill="1" applyBorder="1" applyAlignment="1">
      <alignment vertical="center" shrinkToFit="1"/>
    </xf>
    <xf numFmtId="38" fontId="11" fillId="0" borderId="57" xfId="49" applyFont="1" applyFill="1" applyBorder="1" applyAlignment="1">
      <alignment vertical="center" shrinkToFit="1"/>
    </xf>
    <xf numFmtId="38" fontId="11" fillId="0" borderId="58" xfId="49" applyFont="1" applyFill="1" applyBorder="1" applyAlignment="1">
      <alignment vertical="center" shrinkToFit="1"/>
    </xf>
    <xf numFmtId="38" fontId="11" fillId="0" borderId="59" xfId="49" applyFont="1" applyFill="1" applyBorder="1" applyAlignment="1">
      <alignment vertical="center" shrinkToFit="1"/>
    </xf>
    <xf numFmtId="38" fontId="11" fillId="0" borderId="58" xfId="49" applyFont="1" applyFill="1" applyBorder="1" applyAlignment="1" applyProtection="1">
      <alignment vertical="center" shrinkToFit="1"/>
      <protection locked="0"/>
    </xf>
    <xf numFmtId="38" fontId="11" fillId="0" borderId="60" xfId="49" applyFont="1" applyFill="1" applyBorder="1" applyAlignment="1" applyProtection="1">
      <alignment vertical="center" shrinkToFit="1"/>
      <protection locked="0"/>
    </xf>
    <xf numFmtId="38" fontId="11" fillId="0" borderId="61" xfId="49" applyFont="1" applyFill="1" applyBorder="1" applyAlignment="1" applyProtection="1">
      <alignment vertical="center" shrinkToFit="1"/>
      <protection locked="0"/>
    </xf>
    <xf numFmtId="38" fontId="11" fillId="0" borderId="56" xfId="49" applyFont="1" applyFill="1" applyBorder="1" applyAlignment="1" applyProtection="1">
      <alignment vertical="center" shrinkToFit="1"/>
      <protection locked="0"/>
    </xf>
    <xf numFmtId="38" fontId="11" fillId="0" borderId="23" xfId="49" applyFont="1" applyFill="1" applyBorder="1" applyAlignment="1">
      <alignment horizontal="right" vertical="center" shrinkToFit="1"/>
    </xf>
    <xf numFmtId="38" fontId="11" fillId="0" borderId="32" xfId="49" applyFont="1" applyFill="1" applyBorder="1" applyAlignment="1">
      <alignment horizontal="right" vertical="center" shrinkToFit="1"/>
    </xf>
    <xf numFmtId="38" fontId="11" fillId="0" borderId="62" xfId="49" applyFont="1" applyFill="1" applyBorder="1" applyAlignment="1">
      <alignment horizontal="right" vertical="center" shrinkToFit="1"/>
    </xf>
    <xf numFmtId="38" fontId="11" fillId="0" borderId="24" xfId="49" applyFont="1" applyFill="1" applyBorder="1" applyAlignment="1">
      <alignment horizontal="right" vertical="center" shrinkToFit="1"/>
    </xf>
    <xf numFmtId="38" fontId="11" fillId="0" borderId="63" xfId="49" applyFont="1" applyFill="1" applyBorder="1" applyAlignment="1">
      <alignment horizontal="right" vertical="center" shrinkToFit="1"/>
    </xf>
    <xf numFmtId="38" fontId="11" fillId="0" borderId="36" xfId="49" applyFont="1" applyFill="1" applyBorder="1" applyAlignment="1">
      <alignment horizontal="right" vertical="center" shrinkToFit="1"/>
    </xf>
    <xf numFmtId="38" fontId="11" fillId="0" borderId="37" xfId="49" applyFont="1" applyFill="1" applyBorder="1" applyAlignment="1">
      <alignment horizontal="right" vertical="center" shrinkToFit="1"/>
    </xf>
    <xf numFmtId="38" fontId="11" fillId="0" borderId="38" xfId="49" applyFont="1" applyFill="1" applyBorder="1" applyAlignment="1">
      <alignment horizontal="right" vertical="center" shrinkToFit="1"/>
    </xf>
    <xf numFmtId="38" fontId="11" fillId="0" borderId="64" xfId="49" applyFont="1" applyFill="1" applyBorder="1" applyAlignment="1">
      <alignment horizontal="right" vertical="center" shrinkToFit="1"/>
    </xf>
    <xf numFmtId="38" fontId="11" fillId="0" borderId="50" xfId="49" applyFont="1" applyFill="1" applyBorder="1" applyAlignment="1">
      <alignment horizontal="right" vertical="center" shrinkToFit="1"/>
    </xf>
    <xf numFmtId="38" fontId="11" fillId="0" borderId="40" xfId="49" applyFont="1" applyFill="1" applyBorder="1" applyAlignment="1">
      <alignment horizontal="right" vertical="center" shrinkToFit="1"/>
    </xf>
    <xf numFmtId="201" fontId="10" fillId="0" borderId="0" xfId="49" applyNumberFormat="1" applyFont="1" applyFill="1" applyBorder="1" applyAlignment="1">
      <alignment horizontal="left"/>
    </xf>
    <xf numFmtId="201" fontId="10" fillId="0" borderId="0" xfId="49" applyNumberFormat="1" applyFont="1" applyFill="1" applyBorder="1" applyAlignment="1">
      <alignment vertical="center"/>
    </xf>
    <xf numFmtId="0" fontId="11" fillId="0" borderId="22" xfId="49" applyNumberFormat="1" applyFont="1" applyFill="1" applyBorder="1" applyAlignment="1">
      <alignment horizontal="center" vertical="center"/>
    </xf>
    <xf numFmtId="38" fontId="11" fillId="0" borderId="65" xfId="49" applyFont="1" applyFill="1" applyBorder="1" applyAlignment="1">
      <alignment vertical="center" shrinkToFit="1"/>
    </xf>
    <xf numFmtId="38" fontId="11" fillId="0" borderId="66" xfId="49" applyFont="1" applyFill="1" applyBorder="1" applyAlignment="1">
      <alignment vertical="center" shrinkToFit="1"/>
    </xf>
    <xf numFmtId="38" fontId="11" fillId="0" borderId="67" xfId="49" applyFont="1" applyFill="1" applyBorder="1" applyAlignment="1">
      <alignment vertical="center" shrinkToFit="1"/>
    </xf>
    <xf numFmtId="38" fontId="11" fillId="0" borderId="68" xfId="49" applyFont="1" applyFill="1" applyBorder="1" applyAlignment="1" applyProtection="1">
      <alignment vertical="center" shrinkToFit="1"/>
      <protection locked="0"/>
    </xf>
    <xf numFmtId="38" fontId="11" fillId="0" borderId="69" xfId="49" applyFont="1" applyFill="1" applyBorder="1" applyAlignment="1">
      <alignment vertical="center" shrinkToFit="1"/>
    </xf>
    <xf numFmtId="38" fontId="11" fillId="0" borderId="70" xfId="49" applyFont="1" applyFill="1" applyBorder="1" applyAlignment="1">
      <alignment vertical="center" shrinkToFit="1"/>
    </xf>
    <xf numFmtId="38" fontId="11" fillId="0" borderId="71" xfId="49" applyFont="1" applyFill="1" applyBorder="1" applyAlignment="1" applyProtection="1">
      <alignment vertical="center" shrinkToFit="1"/>
      <protection locked="0"/>
    </xf>
    <xf numFmtId="38" fontId="11" fillId="0" borderId="72" xfId="49" applyFont="1" applyFill="1" applyBorder="1" applyAlignment="1">
      <alignment vertical="center" shrinkToFit="1"/>
    </xf>
    <xf numFmtId="38" fontId="11" fillId="0" borderId="63" xfId="49" applyFont="1" applyFill="1" applyBorder="1" applyAlignment="1" applyProtection="1">
      <alignment vertical="center" shrinkToFit="1"/>
      <protection locked="0"/>
    </xf>
    <xf numFmtId="38" fontId="11" fillId="0" borderId="73" xfId="49" applyFont="1" applyFill="1" applyBorder="1" applyAlignment="1">
      <alignment vertical="center" shrinkToFit="1"/>
    </xf>
    <xf numFmtId="38" fontId="11" fillId="0" borderId="74" xfId="49" applyFont="1" applyFill="1" applyBorder="1" applyAlignment="1">
      <alignment vertical="center" shrinkToFit="1"/>
    </xf>
    <xf numFmtId="3" fontId="5" fillId="0" borderId="75" xfId="49" applyNumberFormat="1" applyFont="1" applyFill="1" applyBorder="1" applyAlignment="1" applyProtection="1">
      <alignment vertical="center" shrinkToFit="1"/>
      <protection locked="0"/>
    </xf>
    <xf numFmtId="3" fontId="5" fillId="0" borderId="24" xfId="49" applyNumberFormat="1" applyFont="1" applyFill="1" applyBorder="1" applyAlignment="1" applyProtection="1">
      <alignment vertical="center" shrinkToFit="1"/>
      <protection locked="0"/>
    </xf>
    <xf numFmtId="3" fontId="5" fillId="0" borderId="32" xfId="49" applyNumberFormat="1" applyFont="1" applyFill="1" applyBorder="1" applyAlignment="1" applyProtection="1">
      <alignment vertical="center" shrinkToFit="1"/>
      <protection locked="0"/>
    </xf>
    <xf numFmtId="3" fontId="5" fillId="0" borderId="76" xfId="49" applyNumberFormat="1" applyFont="1" applyFill="1" applyBorder="1" applyAlignment="1" applyProtection="1">
      <alignment vertical="center" shrinkToFit="1"/>
      <protection locked="0"/>
    </xf>
    <xf numFmtId="3" fontId="5" fillId="0" borderId="28" xfId="49" applyNumberFormat="1" applyFont="1" applyFill="1" applyBorder="1" applyAlignment="1" applyProtection="1">
      <alignment vertical="center" shrinkToFit="1"/>
      <protection locked="0"/>
    </xf>
    <xf numFmtId="3" fontId="5" fillId="0" borderId="77" xfId="49" applyNumberFormat="1" applyFont="1" applyFill="1" applyBorder="1" applyAlignment="1" applyProtection="1">
      <alignment vertical="center" shrinkToFit="1"/>
      <protection locked="0"/>
    </xf>
    <xf numFmtId="3" fontId="5" fillId="0" borderId="78" xfId="49" applyNumberFormat="1" applyFont="1" applyFill="1" applyBorder="1" applyAlignment="1" applyProtection="1">
      <alignment vertical="center" shrinkToFit="1"/>
      <protection locked="0"/>
    </xf>
    <xf numFmtId="3" fontId="5" fillId="0" borderId="29" xfId="49" applyNumberFormat="1" applyFont="1" applyFill="1" applyBorder="1" applyAlignment="1" applyProtection="1">
      <alignment vertical="center" shrinkToFit="1"/>
      <protection locked="0"/>
    </xf>
    <xf numFmtId="3" fontId="5" fillId="0" borderId="79" xfId="49" applyNumberFormat="1" applyFont="1" applyFill="1" applyBorder="1" applyAlignment="1" applyProtection="1">
      <alignment vertical="center" shrinkToFit="1"/>
      <protection locked="0"/>
    </xf>
    <xf numFmtId="3" fontId="5" fillId="0" borderId="30" xfId="49" applyNumberFormat="1" applyFont="1" applyFill="1" applyBorder="1" applyAlignment="1" applyProtection="1">
      <alignment vertical="center" shrinkToFit="1"/>
      <protection locked="0"/>
    </xf>
    <xf numFmtId="3" fontId="5" fillId="0" borderId="80" xfId="49" applyNumberFormat="1" applyFont="1" applyFill="1" applyBorder="1" applyAlignment="1" applyProtection="1">
      <alignment vertical="center" shrinkToFit="1"/>
      <protection locked="0"/>
    </xf>
    <xf numFmtId="3" fontId="5" fillId="0" borderId="81" xfId="49" applyNumberFormat="1" applyFont="1" applyFill="1" applyBorder="1" applyAlignment="1" applyProtection="1">
      <alignment vertical="center" shrinkToFit="1"/>
      <protection locked="0"/>
    </xf>
    <xf numFmtId="3" fontId="5" fillId="0" borderId="37" xfId="49" applyNumberFormat="1" applyFont="1" applyFill="1" applyBorder="1" applyAlignment="1" applyProtection="1">
      <alignment vertical="center" shrinkToFit="1"/>
      <protection locked="0"/>
    </xf>
    <xf numFmtId="3" fontId="5" fillId="0" borderId="82" xfId="49" applyNumberFormat="1" applyFont="1" applyFill="1" applyBorder="1" applyAlignment="1" applyProtection="1">
      <alignment vertical="center" shrinkToFit="1"/>
      <protection locked="0"/>
    </xf>
    <xf numFmtId="3" fontId="5" fillId="0" borderId="38" xfId="49" applyNumberFormat="1" applyFont="1" applyFill="1" applyBorder="1" applyAlignment="1" applyProtection="1">
      <alignment vertical="center" shrinkToFit="1"/>
      <protection locked="0"/>
    </xf>
    <xf numFmtId="3" fontId="5" fillId="0" borderId="64" xfId="49" applyNumberFormat="1" applyFont="1" applyFill="1" applyBorder="1" applyAlignment="1" applyProtection="1">
      <alignment vertical="center" shrinkToFit="1"/>
      <protection locked="0"/>
    </xf>
    <xf numFmtId="3" fontId="5" fillId="0" borderId="83" xfId="49" applyNumberFormat="1" applyFont="1" applyFill="1" applyBorder="1" applyAlignment="1" applyProtection="1">
      <alignment vertical="center" shrinkToFit="1"/>
      <protection locked="0"/>
    </xf>
    <xf numFmtId="3" fontId="5" fillId="0" borderId="48" xfId="49" applyNumberFormat="1" applyFont="1" applyFill="1" applyBorder="1" applyAlignment="1" applyProtection="1">
      <alignment vertical="center" shrinkToFit="1"/>
      <protection locked="0"/>
    </xf>
    <xf numFmtId="3" fontId="5" fillId="0" borderId="84" xfId="49" applyNumberFormat="1" applyFont="1" applyFill="1" applyBorder="1" applyAlignment="1" applyProtection="1">
      <alignment vertical="center" shrinkToFit="1"/>
      <protection locked="0"/>
    </xf>
    <xf numFmtId="3" fontId="5" fillId="0" borderId="85" xfId="49" applyNumberFormat="1" applyFont="1" applyFill="1" applyBorder="1" applyAlignment="1" applyProtection="1">
      <alignment vertical="center" shrinkToFit="1"/>
      <protection locked="0"/>
    </xf>
    <xf numFmtId="3" fontId="5" fillId="0" borderId="86" xfId="49" applyNumberFormat="1" applyFont="1" applyFill="1" applyBorder="1" applyAlignment="1" applyProtection="1">
      <alignment vertical="center" shrinkToFit="1"/>
      <protection locked="0"/>
    </xf>
    <xf numFmtId="3" fontId="5" fillId="0" borderId="87" xfId="49" applyNumberFormat="1" applyFont="1" applyFill="1" applyBorder="1" applyAlignment="1" applyProtection="1">
      <alignment vertical="center" shrinkToFit="1"/>
      <protection locked="0"/>
    </xf>
    <xf numFmtId="3" fontId="5" fillId="0" borderId="88" xfId="49" applyNumberFormat="1" applyFont="1" applyFill="1" applyBorder="1" applyAlignment="1" applyProtection="1">
      <alignment vertical="center" shrinkToFit="1"/>
      <protection locked="0"/>
    </xf>
    <xf numFmtId="3" fontId="5" fillId="0" borderId="89" xfId="49" applyNumberFormat="1" applyFont="1" applyFill="1" applyBorder="1" applyAlignment="1" applyProtection="1">
      <alignment vertical="center" shrinkToFit="1"/>
      <protection locked="0"/>
    </xf>
    <xf numFmtId="3" fontId="5" fillId="0" borderId="19" xfId="49" applyNumberFormat="1" applyFont="1" applyFill="1" applyBorder="1" applyAlignment="1" applyProtection="1">
      <alignment vertical="center" shrinkToFit="1"/>
      <protection locked="0"/>
    </xf>
    <xf numFmtId="3" fontId="5" fillId="0" borderId="90" xfId="49" applyNumberFormat="1" applyFont="1" applyFill="1" applyBorder="1" applyAlignment="1" applyProtection="1">
      <alignment vertical="center" shrinkToFit="1"/>
      <protection locked="0"/>
    </xf>
    <xf numFmtId="3" fontId="5" fillId="0" borderId="91" xfId="49" applyNumberFormat="1" applyFont="1" applyFill="1" applyBorder="1" applyAlignment="1" applyProtection="1">
      <alignment vertical="center" shrinkToFit="1"/>
      <protection locked="0"/>
    </xf>
    <xf numFmtId="3" fontId="5" fillId="0" borderId="92" xfId="49" applyNumberFormat="1" applyFont="1" applyFill="1" applyBorder="1" applyAlignment="1" applyProtection="1">
      <alignment vertical="center" shrinkToFit="1"/>
      <protection locked="0"/>
    </xf>
    <xf numFmtId="3" fontId="5" fillId="0" borderId="34" xfId="49" applyNumberFormat="1" applyFont="1" applyFill="1" applyBorder="1" applyAlignment="1" applyProtection="1">
      <alignment vertical="center" shrinkToFit="1"/>
      <protection locked="0"/>
    </xf>
    <xf numFmtId="3" fontId="5" fillId="0" borderId="93" xfId="49" applyNumberFormat="1" applyFont="1" applyFill="1" applyBorder="1" applyAlignment="1" applyProtection="1">
      <alignment vertical="center" shrinkToFit="1"/>
      <protection locked="0"/>
    </xf>
    <xf numFmtId="3" fontId="5" fillId="0" borderId="94" xfId="49" applyNumberFormat="1" applyFont="1" applyFill="1" applyBorder="1" applyAlignment="1" applyProtection="1">
      <alignment vertical="center" shrinkToFit="1"/>
      <protection locked="0"/>
    </xf>
    <xf numFmtId="3" fontId="5" fillId="0" borderId="95" xfId="49" applyNumberFormat="1" applyFont="1" applyFill="1" applyBorder="1" applyAlignment="1" applyProtection="1">
      <alignment vertical="center" shrinkToFit="1"/>
      <protection locked="0"/>
    </xf>
    <xf numFmtId="3" fontId="5" fillId="0" borderId="23" xfId="49" applyNumberFormat="1" applyFont="1" applyFill="1" applyBorder="1" applyAlignment="1" applyProtection="1">
      <alignment vertical="center" shrinkToFit="1"/>
      <protection locked="0"/>
    </xf>
    <xf numFmtId="3" fontId="5" fillId="0" borderId="62" xfId="49" applyNumberFormat="1" applyFont="1" applyFill="1" applyBorder="1" applyAlignment="1" applyProtection="1">
      <alignment vertical="center" shrinkToFit="1"/>
      <protection locked="0"/>
    </xf>
    <xf numFmtId="3" fontId="5" fillId="0" borderId="96" xfId="49" applyNumberFormat="1" applyFont="1" applyFill="1" applyBorder="1" applyAlignment="1" applyProtection="1">
      <alignment vertical="center" shrinkToFit="1"/>
      <protection locked="0"/>
    </xf>
    <xf numFmtId="3" fontId="5" fillId="0" borderId="55" xfId="49" applyNumberFormat="1" applyFont="1" applyFill="1" applyBorder="1" applyAlignment="1" applyProtection="1">
      <alignment vertical="center" shrinkToFit="1"/>
      <protection locked="0"/>
    </xf>
    <xf numFmtId="3" fontId="5" fillId="0" borderId="10" xfId="49" applyNumberFormat="1" applyFont="1" applyFill="1" applyBorder="1" applyAlignment="1" applyProtection="1">
      <alignment vertical="center" shrinkToFit="1"/>
      <protection locked="0"/>
    </xf>
    <xf numFmtId="3" fontId="5" fillId="0" borderId="11" xfId="49" applyNumberFormat="1" applyFont="1" applyFill="1" applyBorder="1" applyAlignment="1" applyProtection="1">
      <alignment vertical="center" shrinkToFit="1"/>
      <protection locked="0"/>
    </xf>
    <xf numFmtId="3" fontId="5" fillId="0" borderId="14" xfId="49" applyNumberFormat="1" applyFont="1" applyFill="1" applyBorder="1" applyAlignment="1" applyProtection="1">
      <alignment vertical="center" shrinkToFit="1"/>
      <protection locked="0"/>
    </xf>
    <xf numFmtId="3" fontId="5" fillId="0" borderId="97" xfId="49" applyNumberFormat="1" applyFont="1" applyFill="1" applyBorder="1" applyAlignment="1" applyProtection="1">
      <alignment vertical="center" shrinkToFit="1"/>
      <protection locked="0"/>
    </xf>
    <xf numFmtId="0" fontId="5" fillId="0" borderId="0" xfId="49" applyNumberFormat="1" applyFont="1" applyFill="1" applyBorder="1" applyAlignment="1" applyProtection="1">
      <alignment horizontal="center" vertical="center"/>
      <protection locked="0"/>
    </xf>
    <xf numFmtId="0" fontId="5" fillId="0" borderId="98" xfId="49" applyNumberFormat="1" applyFont="1" applyFill="1" applyBorder="1" applyAlignment="1">
      <alignment horizontal="center" vertical="center"/>
    </xf>
    <xf numFmtId="0" fontId="5" fillId="0" borderId="34" xfId="49" applyNumberFormat="1" applyFont="1" applyFill="1" applyBorder="1" applyAlignment="1" applyProtection="1">
      <alignment horizontal="center" vertical="center"/>
      <protection locked="0"/>
    </xf>
    <xf numFmtId="0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5" fillId="0" borderId="0" xfId="49" applyNumberFormat="1" applyFont="1" applyFill="1" applyBorder="1" applyAlignment="1">
      <alignment horizontal="center" vertical="center" textRotation="255"/>
    </xf>
    <xf numFmtId="0" fontId="5" fillId="0" borderId="46" xfId="49" applyNumberFormat="1" applyFont="1" applyFill="1" applyBorder="1" applyAlignment="1">
      <alignment horizontal="center" vertical="center" textRotation="255"/>
    </xf>
    <xf numFmtId="0" fontId="5" fillId="0" borderId="0" xfId="49" applyNumberFormat="1" applyFont="1" applyFill="1" applyBorder="1" applyAlignment="1">
      <alignment horizontal="center" vertical="center"/>
    </xf>
    <xf numFmtId="0" fontId="5" fillId="0" borderId="46" xfId="49" applyNumberFormat="1" applyFont="1" applyFill="1" applyBorder="1" applyAlignment="1">
      <alignment horizontal="center" vertical="center"/>
    </xf>
    <xf numFmtId="0" fontId="5" fillId="0" borderId="87" xfId="49" applyNumberFormat="1" applyFont="1" applyFill="1" applyBorder="1" applyAlignment="1">
      <alignment horizontal="center" vertical="center"/>
    </xf>
    <xf numFmtId="3" fontId="11" fillId="0" borderId="65" xfId="49" applyNumberFormat="1" applyFont="1" applyFill="1" applyBorder="1" applyAlignment="1">
      <alignment vertical="center"/>
    </xf>
    <xf numFmtId="3" fontId="11" fillId="0" borderId="24" xfId="49" applyNumberFormat="1" applyFont="1" applyFill="1" applyBorder="1" applyAlignment="1">
      <alignment vertical="center"/>
    </xf>
    <xf numFmtId="3" fontId="11" fillId="0" borderId="24" xfId="49" applyNumberFormat="1" applyFont="1" applyFill="1" applyBorder="1" applyAlignment="1" applyProtection="1">
      <alignment vertical="center"/>
      <protection locked="0"/>
    </xf>
    <xf numFmtId="3" fontId="11" fillId="0" borderId="27" xfId="49" applyNumberFormat="1" applyFont="1" applyFill="1" applyBorder="1" applyAlignment="1" applyProtection="1">
      <alignment vertical="center"/>
      <protection locked="0"/>
    </xf>
    <xf numFmtId="3" fontId="11" fillId="0" borderId="44" xfId="49" applyNumberFormat="1" applyFont="1" applyFill="1" applyBorder="1" applyAlignment="1" applyProtection="1">
      <alignment vertical="center"/>
      <protection locked="0"/>
    </xf>
    <xf numFmtId="3" fontId="5" fillId="0" borderId="99" xfId="49" applyNumberFormat="1" applyFont="1" applyFill="1" applyBorder="1" applyAlignment="1" applyProtection="1">
      <alignment vertical="center"/>
      <protection locked="0"/>
    </xf>
    <xf numFmtId="3" fontId="11" fillId="0" borderId="66" xfId="49" applyNumberFormat="1" applyFont="1" applyFill="1" applyBorder="1" applyAlignment="1">
      <alignment vertical="center"/>
    </xf>
    <xf numFmtId="3" fontId="11" fillId="0" borderId="29" xfId="49" applyNumberFormat="1" applyFont="1" applyFill="1" applyBorder="1" applyAlignment="1">
      <alignment vertical="center"/>
    </xf>
    <xf numFmtId="3" fontId="11" fillId="0" borderId="29" xfId="49" applyNumberFormat="1" applyFont="1" applyFill="1" applyBorder="1" applyAlignment="1" applyProtection="1">
      <alignment vertical="center"/>
      <protection locked="0"/>
    </xf>
    <xf numFmtId="3" fontId="11" fillId="0" borderId="31" xfId="49" applyNumberFormat="1" applyFont="1" applyFill="1" applyBorder="1" applyAlignment="1" applyProtection="1">
      <alignment vertical="center"/>
      <protection locked="0"/>
    </xf>
    <xf numFmtId="3" fontId="11" fillId="0" borderId="55" xfId="49" applyNumberFormat="1" applyFont="1" applyFill="1" applyBorder="1" applyAlignment="1" applyProtection="1">
      <alignment vertical="center"/>
      <protection locked="0"/>
    </xf>
    <xf numFmtId="3" fontId="5" fillId="0" borderId="66" xfId="49" applyNumberFormat="1" applyFont="1" applyFill="1" applyBorder="1" applyAlignment="1">
      <alignment vertical="center"/>
    </xf>
    <xf numFmtId="3" fontId="5" fillId="0" borderId="29" xfId="49" applyNumberFormat="1" applyFont="1" applyFill="1" applyBorder="1" applyAlignment="1">
      <alignment vertical="center"/>
    </xf>
    <xf numFmtId="3" fontId="5" fillId="0" borderId="29" xfId="49" applyNumberFormat="1" applyFont="1" applyFill="1" applyBorder="1" applyAlignment="1" applyProtection="1">
      <alignment vertical="center"/>
      <protection locked="0"/>
    </xf>
    <xf numFmtId="3" fontId="5" fillId="0" borderId="77" xfId="49" applyNumberFormat="1" applyFont="1" applyFill="1" applyBorder="1" applyAlignment="1" applyProtection="1">
      <alignment vertical="center"/>
      <protection locked="0"/>
    </xf>
    <xf numFmtId="3" fontId="5" fillId="0" borderId="100" xfId="49" applyNumberFormat="1" applyFont="1" applyFill="1" applyBorder="1" applyAlignment="1" applyProtection="1">
      <alignment vertical="center"/>
      <protection locked="0"/>
    </xf>
    <xf numFmtId="3" fontId="11" fillId="0" borderId="67" xfId="49" applyNumberFormat="1" applyFont="1" applyFill="1" applyBorder="1" applyAlignment="1">
      <alignment vertical="center"/>
    </xf>
    <xf numFmtId="3" fontId="11" fillId="0" borderId="32" xfId="49" applyNumberFormat="1" applyFont="1" applyFill="1" applyBorder="1" applyAlignment="1">
      <alignment vertical="center"/>
    </xf>
    <xf numFmtId="3" fontId="11" fillId="0" borderId="32" xfId="49" applyNumberFormat="1" applyFont="1" applyFill="1" applyBorder="1" applyAlignment="1" applyProtection="1">
      <alignment vertical="center"/>
      <protection locked="0"/>
    </xf>
    <xf numFmtId="3" fontId="11" fillId="0" borderId="63" xfId="49" applyNumberFormat="1" applyFont="1" applyFill="1" applyBorder="1" applyAlignment="1" applyProtection="1">
      <alignment vertical="center"/>
      <protection locked="0"/>
    </xf>
    <xf numFmtId="3" fontId="11" fillId="0" borderId="36" xfId="49" applyNumberFormat="1" applyFont="1" applyFill="1" applyBorder="1" applyAlignment="1" applyProtection="1">
      <alignment vertical="center"/>
      <protection locked="0"/>
    </xf>
    <xf numFmtId="3" fontId="11" fillId="0" borderId="69" xfId="49" applyNumberFormat="1" applyFont="1" applyFill="1" applyBorder="1" applyAlignment="1">
      <alignment vertical="center"/>
    </xf>
    <xf numFmtId="3" fontId="11" fillId="0" borderId="38" xfId="49" applyNumberFormat="1" applyFont="1" applyFill="1" applyBorder="1" applyAlignment="1">
      <alignment vertical="center"/>
    </xf>
    <xf numFmtId="3" fontId="11" fillId="0" borderId="38" xfId="49" applyNumberFormat="1" applyFont="1" applyFill="1" applyBorder="1" applyAlignment="1" applyProtection="1">
      <alignment vertical="center"/>
      <protection locked="0"/>
    </xf>
    <xf numFmtId="3" fontId="11" fillId="0" borderId="50" xfId="49" applyNumberFormat="1" applyFont="1" applyFill="1" applyBorder="1" applyAlignment="1" applyProtection="1">
      <alignment vertical="center"/>
      <protection locked="0"/>
    </xf>
    <xf numFmtId="3" fontId="11" fillId="0" borderId="40" xfId="49" applyNumberFormat="1" applyFont="1" applyFill="1" applyBorder="1" applyAlignment="1" applyProtection="1">
      <alignment vertical="center"/>
      <protection locked="0"/>
    </xf>
    <xf numFmtId="3" fontId="5" fillId="0" borderId="68" xfId="49" applyNumberFormat="1" applyFont="1" applyFill="1" applyBorder="1" applyAlignment="1" applyProtection="1">
      <alignment vertical="center"/>
      <protection locked="0"/>
    </xf>
    <xf numFmtId="3" fontId="11" fillId="0" borderId="70" xfId="49" applyNumberFormat="1" applyFont="1" applyFill="1" applyBorder="1" applyAlignment="1">
      <alignment vertical="center"/>
    </xf>
    <xf numFmtId="3" fontId="11" fillId="0" borderId="34" xfId="49" applyNumberFormat="1" applyFont="1" applyFill="1" applyBorder="1" applyAlignment="1">
      <alignment vertical="center"/>
    </xf>
    <xf numFmtId="3" fontId="11" fillId="0" borderId="34" xfId="49" applyNumberFormat="1" applyFont="1" applyFill="1" applyBorder="1" applyAlignment="1" applyProtection="1">
      <alignment vertical="center"/>
      <protection locked="0"/>
    </xf>
    <xf numFmtId="3" fontId="11" fillId="0" borderId="35" xfId="49" applyNumberFormat="1" applyFont="1" applyFill="1" applyBorder="1" applyAlignment="1" applyProtection="1">
      <alignment vertical="center"/>
      <protection locked="0"/>
    </xf>
    <xf numFmtId="3" fontId="11" fillId="0" borderId="54" xfId="49" applyNumberFormat="1" applyFont="1" applyFill="1" applyBorder="1" applyAlignment="1" applyProtection="1">
      <alignment vertical="center"/>
      <protection locked="0"/>
    </xf>
    <xf numFmtId="3" fontId="5" fillId="0" borderId="101" xfId="49" applyNumberFormat="1" applyFont="1" applyFill="1" applyBorder="1" applyAlignment="1" applyProtection="1">
      <alignment vertical="center"/>
      <protection locked="0"/>
    </xf>
    <xf numFmtId="3" fontId="11" fillId="0" borderId="72" xfId="49" applyNumberFormat="1" applyFont="1" applyFill="1" applyBorder="1" applyAlignment="1">
      <alignment vertical="center"/>
    </xf>
    <xf numFmtId="3" fontId="11" fillId="0" borderId="46" xfId="49" applyNumberFormat="1" applyFont="1" applyFill="1" applyBorder="1" applyAlignment="1">
      <alignment vertical="center"/>
    </xf>
    <xf numFmtId="3" fontId="11" fillId="0" borderId="56" xfId="49" applyNumberFormat="1" applyFont="1" applyFill="1" applyBorder="1" applyAlignment="1">
      <alignment vertical="center"/>
    </xf>
    <xf numFmtId="3" fontId="11" fillId="0" borderId="102" xfId="49" applyNumberFormat="1" applyFont="1" applyFill="1" applyBorder="1" applyAlignment="1">
      <alignment vertical="center"/>
    </xf>
    <xf numFmtId="3" fontId="5" fillId="0" borderId="103" xfId="49" applyNumberFormat="1" applyFont="1" applyFill="1" applyBorder="1" applyAlignment="1" applyProtection="1">
      <alignment vertical="center"/>
      <protection locked="0"/>
    </xf>
    <xf numFmtId="3" fontId="11" fillId="0" borderId="28" xfId="49" applyNumberFormat="1" applyFont="1" applyFill="1" applyBorder="1" applyAlignment="1">
      <alignment vertical="center"/>
    </xf>
    <xf numFmtId="3" fontId="11" fillId="0" borderId="90" xfId="49" applyNumberFormat="1" applyFont="1" applyFill="1" applyBorder="1" applyAlignment="1">
      <alignment vertical="center"/>
    </xf>
    <xf numFmtId="3" fontId="11" fillId="0" borderId="100" xfId="49" applyNumberFormat="1" applyFont="1" applyFill="1" applyBorder="1" applyAlignment="1">
      <alignment vertical="center"/>
    </xf>
    <xf numFmtId="3" fontId="5" fillId="0" borderId="28" xfId="49" applyNumberFormat="1" applyFont="1" applyFill="1" applyBorder="1" applyAlignment="1">
      <alignment vertical="center"/>
    </xf>
    <xf numFmtId="3" fontId="5" fillId="0" borderId="90" xfId="49" applyNumberFormat="1" applyFont="1" applyFill="1" applyBorder="1" applyAlignment="1">
      <alignment vertical="center"/>
    </xf>
    <xf numFmtId="3" fontId="5" fillId="0" borderId="100" xfId="49" applyNumberFormat="1" applyFont="1" applyFill="1" applyBorder="1" applyAlignment="1">
      <alignment vertical="center"/>
    </xf>
    <xf numFmtId="3" fontId="11" fillId="0" borderId="46" xfId="49" applyNumberFormat="1" applyFont="1" applyFill="1" applyBorder="1" applyAlignment="1" applyProtection="1">
      <alignment vertical="center"/>
      <protection locked="0"/>
    </xf>
    <xf numFmtId="3" fontId="11" fillId="0" borderId="56" xfId="49" applyNumberFormat="1" applyFont="1" applyFill="1" applyBorder="1" applyAlignment="1" applyProtection="1">
      <alignment vertical="center"/>
      <protection locked="0"/>
    </xf>
    <xf numFmtId="3" fontId="11" fillId="0" borderId="43" xfId="49" applyNumberFormat="1" applyFont="1" applyFill="1" applyBorder="1" applyAlignment="1" applyProtection="1">
      <alignment vertical="center"/>
      <protection locked="0"/>
    </xf>
    <xf numFmtId="3" fontId="11" fillId="0" borderId="31" xfId="49" applyNumberFormat="1" applyFont="1" applyFill="1" applyBorder="1" applyAlignment="1">
      <alignment vertical="center"/>
    </xf>
    <xf numFmtId="3" fontId="5" fillId="0" borderId="30" xfId="49" applyNumberFormat="1" applyFont="1" applyFill="1" applyBorder="1" applyAlignment="1">
      <alignment vertical="center"/>
    </xf>
    <xf numFmtId="3" fontId="11" fillId="0" borderId="73" xfId="49" applyNumberFormat="1" applyFont="1" applyFill="1" applyBorder="1" applyAlignment="1">
      <alignment vertical="center"/>
    </xf>
    <xf numFmtId="3" fontId="11" fillId="0" borderId="48" xfId="49" applyNumberFormat="1" applyFont="1" applyFill="1" applyBorder="1" applyAlignment="1">
      <alignment vertical="center"/>
    </xf>
    <xf numFmtId="3" fontId="11" fillId="0" borderId="48" xfId="49" applyNumberFormat="1" applyFont="1" applyFill="1" applyBorder="1" applyAlignment="1" applyProtection="1">
      <alignment vertical="center"/>
      <protection locked="0"/>
    </xf>
    <xf numFmtId="3" fontId="11" fillId="0" borderId="49" xfId="49" applyNumberFormat="1" applyFont="1" applyFill="1" applyBorder="1" applyAlignment="1" applyProtection="1">
      <alignment vertical="center"/>
      <protection locked="0"/>
    </xf>
    <xf numFmtId="3" fontId="11" fillId="0" borderId="55" xfId="49" applyNumberFormat="1" applyFont="1" applyFill="1" applyBorder="1" applyAlignment="1">
      <alignment vertical="center"/>
    </xf>
    <xf numFmtId="3" fontId="5" fillId="0" borderId="71" xfId="49" applyNumberFormat="1" applyFont="1" applyFill="1" applyBorder="1" applyAlignment="1" applyProtection="1">
      <alignment vertical="center"/>
      <protection locked="0"/>
    </xf>
    <xf numFmtId="3" fontId="5" fillId="0" borderId="86" xfId="49" applyNumberFormat="1" applyFont="1" applyFill="1" applyBorder="1" applyAlignment="1">
      <alignment vertical="center"/>
    </xf>
    <xf numFmtId="3" fontId="5" fillId="0" borderId="89" xfId="49" applyNumberFormat="1" applyFont="1" applyFill="1" applyBorder="1" applyAlignment="1">
      <alignment vertical="center"/>
    </xf>
    <xf numFmtId="3" fontId="5" fillId="0" borderId="104" xfId="49" applyNumberFormat="1" applyFont="1" applyFill="1" applyBorder="1" applyAlignment="1" applyProtection="1">
      <alignment vertical="center"/>
      <protection locked="0"/>
    </xf>
    <xf numFmtId="3" fontId="11" fillId="0" borderId="74" xfId="49" applyNumberFormat="1" applyFont="1" applyFill="1" applyBorder="1" applyAlignment="1">
      <alignment vertical="center"/>
    </xf>
    <xf numFmtId="3" fontId="11" fillId="0" borderId="58" xfId="49" applyNumberFormat="1" applyFont="1" applyFill="1" applyBorder="1" applyAlignment="1">
      <alignment vertical="center"/>
    </xf>
    <xf numFmtId="3" fontId="11" fillId="0" borderId="58" xfId="49" applyNumberFormat="1" applyFont="1" applyFill="1" applyBorder="1" applyAlignment="1" applyProtection="1">
      <alignment vertical="center"/>
      <protection locked="0"/>
    </xf>
    <xf numFmtId="3" fontId="11" fillId="0" borderId="60" xfId="49" applyNumberFormat="1" applyFont="1" applyFill="1" applyBorder="1" applyAlignment="1" applyProtection="1">
      <alignment vertical="center"/>
      <protection locked="0"/>
    </xf>
    <xf numFmtId="3" fontId="11" fillId="0" borderId="102" xfId="49" applyNumberFormat="1" applyFont="1" applyFill="1" applyBorder="1" applyAlignment="1" applyProtection="1">
      <alignment vertical="center"/>
      <protection locked="0"/>
    </xf>
    <xf numFmtId="3" fontId="11" fillId="0" borderId="23" xfId="49" applyNumberFormat="1" applyFont="1" applyFill="1" applyBorder="1" applyAlignment="1">
      <alignment horizontal="right" vertical="center" shrinkToFit="1"/>
    </xf>
    <xf numFmtId="3" fontId="11" fillId="0" borderId="24" xfId="49" applyNumberFormat="1" applyFont="1" applyFill="1" applyBorder="1" applyAlignment="1">
      <alignment horizontal="right" vertical="center" shrinkToFit="1"/>
    </xf>
    <xf numFmtId="3" fontId="11" fillId="0" borderId="62" xfId="49" applyNumberFormat="1" applyFont="1" applyFill="1" applyBorder="1" applyAlignment="1">
      <alignment horizontal="right" vertical="center" shrinkToFit="1"/>
    </xf>
    <xf numFmtId="3" fontId="11" fillId="0" borderId="105" xfId="49" applyNumberFormat="1" applyFont="1" applyFill="1" applyBorder="1" applyAlignment="1">
      <alignment horizontal="right" vertical="center" shrinkToFit="1"/>
    </xf>
    <xf numFmtId="3" fontId="5" fillId="0" borderId="23" xfId="49" applyNumberFormat="1" applyFont="1" applyFill="1" applyBorder="1" applyAlignment="1">
      <alignment horizontal="right" vertical="center" shrinkToFit="1"/>
    </xf>
    <xf numFmtId="3" fontId="5" fillId="0" borderId="24" xfId="49" applyNumberFormat="1" applyFont="1" applyFill="1" applyBorder="1" applyAlignment="1">
      <alignment horizontal="right" vertical="center" shrinkToFit="1"/>
    </xf>
    <xf numFmtId="3" fontId="5" fillId="0" borderId="27" xfId="49" applyNumberFormat="1" applyFont="1" applyFill="1" applyBorder="1" applyAlignment="1">
      <alignment horizontal="right" vertical="center" shrinkToFit="1"/>
    </xf>
    <xf numFmtId="3" fontId="5" fillId="0" borderId="62" xfId="49" applyNumberFormat="1" applyFont="1" applyFill="1" applyBorder="1" applyAlignment="1">
      <alignment horizontal="right" vertical="center" shrinkToFit="1"/>
    </xf>
    <xf numFmtId="3" fontId="5" fillId="0" borderId="65" xfId="49" applyNumberFormat="1" applyFont="1" applyFill="1" applyBorder="1" applyAlignment="1">
      <alignment horizontal="right" vertical="center" shrinkToFit="1"/>
    </xf>
    <xf numFmtId="3" fontId="5" fillId="0" borderId="105" xfId="49" applyNumberFormat="1" applyFont="1" applyFill="1" applyBorder="1" applyAlignment="1">
      <alignment horizontal="right" vertical="center" shrinkToFit="1"/>
    </xf>
    <xf numFmtId="3" fontId="11" fillId="0" borderId="37" xfId="49" applyNumberFormat="1" applyFont="1" applyFill="1" applyBorder="1" applyAlignment="1">
      <alignment horizontal="right" vertical="center" shrinkToFit="1"/>
    </xf>
    <xf numFmtId="3" fontId="11" fillId="0" borderId="38" xfId="49" applyNumberFormat="1" applyFont="1" applyFill="1" applyBorder="1" applyAlignment="1">
      <alignment horizontal="right" vertical="center" shrinkToFit="1"/>
    </xf>
    <xf numFmtId="3" fontId="11" fillId="0" borderId="64" xfId="49" applyNumberFormat="1" applyFont="1" applyFill="1" applyBorder="1" applyAlignment="1">
      <alignment horizontal="right" vertical="center" shrinkToFit="1"/>
    </xf>
    <xf numFmtId="3" fontId="11" fillId="0" borderId="68" xfId="49" applyNumberFormat="1" applyFont="1" applyFill="1" applyBorder="1" applyAlignment="1">
      <alignment horizontal="right" vertical="center" shrinkToFit="1"/>
    </xf>
    <xf numFmtId="3" fontId="5" fillId="0" borderId="37" xfId="49" applyNumberFormat="1" applyFont="1" applyFill="1" applyBorder="1" applyAlignment="1">
      <alignment horizontal="right" vertical="center" shrinkToFit="1"/>
    </xf>
    <xf numFmtId="3" fontId="5" fillId="0" borderId="38" xfId="49" applyNumberFormat="1" applyFont="1" applyFill="1" applyBorder="1" applyAlignment="1">
      <alignment horizontal="right" vertical="center" shrinkToFit="1"/>
    </xf>
    <xf numFmtId="3" fontId="5" fillId="0" borderId="64" xfId="49" applyNumberFormat="1" applyFont="1" applyFill="1" applyBorder="1" applyAlignment="1">
      <alignment horizontal="right" vertical="center" shrinkToFit="1"/>
    </xf>
    <xf numFmtId="3" fontId="5" fillId="0" borderId="68" xfId="49" applyNumberFormat="1" applyFont="1" applyFill="1" applyBorder="1" applyAlignment="1">
      <alignment horizontal="right" vertical="center" shrinkToFit="1"/>
    </xf>
    <xf numFmtId="3" fontId="11" fillId="0" borderId="10" xfId="49" applyNumberFormat="1" applyFont="1" applyFill="1" applyBorder="1" applyAlignment="1">
      <alignment horizontal="right" vertical="center" shrinkToFit="1"/>
    </xf>
    <xf numFmtId="3" fontId="11" fillId="0" borderId="11" xfId="49" applyNumberFormat="1" applyFont="1" applyFill="1" applyBorder="1" applyAlignment="1">
      <alignment vertical="center"/>
    </xf>
    <xf numFmtId="3" fontId="11" fillId="0" borderId="11" xfId="49" applyNumberFormat="1" applyFont="1" applyFill="1" applyBorder="1" applyAlignment="1" applyProtection="1">
      <alignment vertical="center"/>
      <protection locked="0"/>
    </xf>
    <xf numFmtId="3" fontId="11" fillId="0" borderId="12" xfId="49" applyNumberFormat="1" applyFont="1" applyFill="1" applyBorder="1" applyAlignment="1" applyProtection="1">
      <alignment vertical="center"/>
      <protection locked="0"/>
    </xf>
    <xf numFmtId="3" fontId="11" fillId="0" borderId="13" xfId="49" applyNumberFormat="1" applyFont="1" applyFill="1" applyBorder="1" applyAlignment="1" applyProtection="1">
      <alignment vertical="center"/>
      <protection locked="0"/>
    </xf>
    <xf numFmtId="3" fontId="5" fillId="0" borderId="106" xfId="49" applyNumberFormat="1" applyFont="1" applyFill="1" applyBorder="1" applyAlignment="1">
      <alignment vertical="center"/>
    </xf>
    <xf numFmtId="3" fontId="5" fillId="0" borderId="11" xfId="49" applyNumberFormat="1" applyFont="1" applyFill="1" applyBorder="1" applyAlignment="1">
      <alignment vertical="center"/>
    </xf>
    <xf numFmtId="3" fontId="5" fillId="0" borderId="11" xfId="49" applyNumberFormat="1" applyFont="1" applyFill="1" applyBorder="1" applyAlignment="1" applyProtection="1">
      <alignment vertical="center"/>
      <protection locked="0"/>
    </xf>
    <xf numFmtId="3" fontId="5" fillId="0" borderId="107" xfId="49" applyNumberFormat="1" applyFont="1" applyFill="1" applyBorder="1" applyAlignment="1" applyProtection="1">
      <alignment vertical="center"/>
      <protection locked="0"/>
    </xf>
    <xf numFmtId="3" fontId="5" fillId="0" borderId="108" xfId="49" applyNumberFormat="1" applyFont="1" applyFill="1" applyBorder="1" applyAlignment="1" applyProtection="1">
      <alignment vertical="center"/>
      <protection locked="0"/>
    </xf>
    <xf numFmtId="38" fontId="11" fillId="0" borderId="63" xfId="49" applyFont="1" applyFill="1" applyBorder="1" applyAlignment="1">
      <alignment vertical="center" shrinkToFit="1"/>
    </xf>
    <xf numFmtId="38" fontId="11" fillId="0" borderId="36" xfId="49" applyFont="1" applyFill="1" applyBorder="1" applyAlignment="1">
      <alignment vertical="center" shrinkToFit="1"/>
    </xf>
    <xf numFmtId="38" fontId="11" fillId="0" borderId="50" xfId="49" applyFont="1" applyFill="1" applyBorder="1" applyAlignment="1">
      <alignment vertical="center" shrinkToFit="1"/>
    </xf>
    <xf numFmtId="38" fontId="11" fillId="0" borderId="40" xfId="49" applyFont="1" applyFill="1" applyBorder="1" applyAlignment="1">
      <alignment vertical="center" shrinkToFit="1"/>
    </xf>
    <xf numFmtId="38" fontId="11" fillId="0" borderId="10" xfId="49" applyFont="1" applyBorder="1" applyAlignment="1">
      <alignment vertical="center" shrinkToFit="1"/>
    </xf>
    <xf numFmtId="38" fontId="15" fillId="0" borderId="65" xfId="49" applyFont="1" applyFill="1" applyBorder="1" applyAlignment="1">
      <alignment vertical="center" shrinkToFit="1"/>
    </xf>
    <xf numFmtId="38" fontId="15" fillId="0" borderId="24" xfId="49" applyFont="1" applyFill="1" applyBorder="1" applyAlignment="1">
      <alignment vertical="center" shrinkToFit="1"/>
    </xf>
    <xf numFmtId="38" fontId="15" fillId="0" borderId="105" xfId="49" applyFont="1" applyFill="1" applyBorder="1" applyAlignment="1" applyProtection="1">
      <alignment vertical="center" shrinkToFit="1"/>
      <protection locked="0"/>
    </xf>
    <xf numFmtId="38" fontId="15" fillId="0" borderId="99" xfId="49" applyFont="1" applyBorder="1" applyAlignment="1" applyProtection="1">
      <alignment vertical="center" shrinkToFit="1"/>
      <protection locked="0"/>
    </xf>
    <xf numFmtId="38" fontId="15" fillId="0" borderId="66" xfId="49" applyFont="1" applyFill="1" applyBorder="1" applyAlignment="1">
      <alignment vertical="center" shrinkToFit="1"/>
    </xf>
    <xf numFmtId="38" fontId="15" fillId="0" borderId="29" xfId="49" applyFont="1" applyFill="1" applyBorder="1" applyAlignment="1">
      <alignment vertical="center" shrinkToFit="1"/>
    </xf>
    <xf numFmtId="38" fontId="15" fillId="0" borderId="29" xfId="49" applyFont="1" applyFill="1" applyBorder="1" applyAlignment="1" applyProtection="1">
      <alignment vertical="center" shrinkToFit="1"/>
      <protection locked="0"/>
    </xf>
    <xf numFmtId="38" fontId="15" fillId="0" borderId="77" xfId="49" applyFont="1" applyFill="1" applyBorder="1" applyAlignment="1" applyProtection="1">
      <alignment vertical="center" shrinkToFit="1"/>
      <protection locked="0"/>
    </xf>
    <xf numFmtId="38" fontId="15" fillId="0" borderId="100" xfId="49" applyFont="1" applyFill="1" applyBorder="1" applyAlignment="1" applyProtection="1">
      <alignment vertical="center" shrinkToFit="1"/>
      <protection locked="0"/>
    </xf>
    <xf numFmtId="38" fontId="15" fillId="0" borderId="100" xfId="49" applyFont="1" applyBorder="1" applyAlignment="1" applyProtection="1">
      <alignment vertical="center" shrinkToFit="1"/>
      <protection locked="0"/>
    </xf>
    <xf numFmtId="38" fontId="15" fillId="0" borderId="99" xfId="49" applyFont="1" applyFill="1" applyBorder="1" applyAlignment="1" applyProtection="1">
      <alignment vertical="center" shrinkToFit="1"/>
      <protection locked="0"/>
    </xf>
    <xf numFmtId="38" fontId="15" fillId="0" borderId="38" xfId="49" applyFont="1" applyFill="1" applyBorder="1" applyAlignment="1">
      <alignment vertical="center" shrinkToFit="1"/>
    </xf>
    <xf numFmtId="38" fontId="15" fillId="0" borderId="68" xfId="49" applyFont="1" applyFill="1" applyBorder="1" applyAlignment="1" applyProtection="1">
      <alignment vertical="center" shrinkToFit="1"/>
      <protection locked="0"/>
    </xf>
    <xf numFmtId="38" fontId="15" fillId="0" borderId="101" xfId="49" applyFont="1" applyFill="1" applyBorder="1" applyAlignment="1" applyProtection="1">
      <alignment vertical="center" shrinkToFit="1"/>
      <protection locked="0"/>
    </xf>
    <xf numFmtId="38" fontId="15" fillId="0" borderId="101" xfId="49" applyFont="1" applyBorder="1" applyAlignment="1" applyProtection="1">
      <alignment vertical="center" shrinkToFit="1"/>
      <protection locked="0"/>
    </xf>
    <xf numFmtId="38" fontId="15" fillId="0" borderId="103" xfId="49" applyFont="1" applyFill="1" applyBorder="1" applyAlignment="1" applyProtection="1">
      <alignment vertical="center" shrinkToFit="1"/>
      <protection locked="0"/>
    </xf>
    <xf numFmtId="38" fontId="15" fillId="0" borderId="103" xfId="49" applyFont="1" applyBorder="1" applyAlignment="1" applyProtection="1">
      <alignment vertical="center" shrinkToFit="1"/>
      <protection locked="0"/>
    </xf>
    <xf numFmtId="38" fontId="15" fillId="0" borderId="27" xfId="49" applyFont="1" applyFill="1" applyBorder="1" applyAlignment="1">
      <alignment vertical="center" shrinkToFit="1"/>
    </xf>
    <xf numFmtId="38" fontId="15" fillId="0" borderId="28" xfId="49" applyFont="1" applyFill="1" applyBorder="1" applyAlignment="1">
      <alignment vertical="center" shrinkToFit="1"/>
    </xf>
    <xf numFmtId="38" fontId="15" fillId="0" borderId="100" xfId="49" applyFont="1" applyFill="1" applyBorder="1" applyAlignment="1">
      <alignment vertical="center" shrinkToFit="1"/>
    </xf>
    <xf numFmtId="38" fontId="15" fillId="0" borderId="100" xfId="49" applyFont="1" applyBorder="1" applyAlignment="1">
      <alignment vertical="center" shrinkToFit="1"/>
    </xf>
    <xf numFmtId="38" fontId="15" fillId="0" borderId="30" xfId="49" applyFont="1" applyFill="1" applyBorder="1" applyAlignment="1">
      <alignment vertical="center" shrinkToFit="1"/>
    </xf>
    <xf numFmtId="38" fontId="15" fillId="0" borderId="71" xfId="49" applyFont="1" applyFill="1" applyBorder="1" applyAlignment="1" applyProtection="1">
      <alignment vertical="center" shrinkToFit="1"/>
      <protection locked="0"/>
    </xf>
    <xf numFmtId="38" fontId="15" fillId="0" borderId="71" xfId="49" applyFont="1" applyBorder="1" applyAlignment="1" applyProtection="1">
      <alignment vertical="center" shrinkToFit="1"/>
      <protection locked="0"/>
    </xf>
    <xf numFmtId="38" fontId="15" fillId="0" borderId="86" xfId="49" applyFont="1" applyFill="1" applyBorder="1" applyAlignment="1">
      <alignment vertical="center" shrinkToFit="1"/>
    </xf>
    <xf numFmtId="38" fontId="15" fillId="0" borderId="89" xfId="49" applyFont="1" applyFill="1" applyBorder="1" applyAlignment="1">
      <alignment vertical="center" shrinkToFit="1"/>
    </xf>
    <xf numFmtId="38" fontId="15" fillId="0" borderId="104" xfId="49" applyFont="1" applyFill="1" applyBorder="1" applyAlignment="1" applyProtection="1">
      <alignment vertical="center" shrinkToFit="1"/>
      <protection locked="0"/>
    </xf>
    <xf numFmtId="38" fontId="15" fillId="0" borderId="104" xfId="49" applyFont="1" applyBorder="1" applyAlignment="1" applyProtection="1">
      <alignment vertical="center" shrinkToFit="1"/>
      <protection locked="0"/>
    </xf>
    <xf numFmtId="38" fontId="15" fillId="0" borderId="68" xfId="49" applyFont="1" applyBorder="1" applyAlignment="1" applyProtection="1">
      <alignment vertical="center" shrinkToFit="1"/>
      <protection locked="0"/>
    </xf>
    <xf numFmtId="38" fontId="15" fillId="0" borderId="94" xfId="49" applyFont="1" applyFill="1" applyBorder="1" applyAlignment="1">
      <alignment vertical="center" shrinkToFit="1"/>
    </xf>
    <xf numFmtId="38" fontId="15" fillId="0" borderId="29" xfId="49" applyFont="1" applyBorder="1" applyAlignment="1" applyProtection="1">
      <alignment vertical="center" shrinkToFit="1"/>
      <protection locked="0"/>
    </xf>
    <xf numFmtId="38" fontId="15" fillId="0" borderId="90" xfId="49" applyFont="1" applyBorder="1" applyAlignment="1" applyProtection="1">
      <alignment vertical="center" shrinkToFit="1"/>
      <protection locked="0"/>
    </xf>
    <xf numFmtId="38" fontId="15" fillId="0" borderId="23" xfId="49" applyFont="1" applyFill="1" applyBorder="1" applyAlignment="1">
      <alignment vertical="center" shrinkToFit="1"/>
    </xf>
    <xf numFmtId="38" fontId="15" fillId="0" borderId="62" xfId="49" applyFont="1" applyFill="1" applyBorder="1" applyAlignment="1">
      <alignment vertical="center" shrinkToFit="1"/>
    </xf>
    <xf numFmtId="38" fontId="15" fillId="0" borderId="24" xfId="49" applyFont="1" applyBorder="1" applyAlignment="1">
      <alignment vertical="center" shrinkToFit="1"/>
    </xf>
    <xf numFmtId="38" fontId="15" fillId="0" borderId="105" xfId="49" applyFont="1" applyBorder="1" applyAlignment="1">
      <alignment vertical="center" shrinkToFit="1"/>
    </xf>
    <xf numFmtId="38" fontId="15" fillId="0" borderId="37" xfId="49" applyFont="1" applyFill="1" applyBorder="1" applyAlignment="1">
      <alignment vertical="center" shrinkToFit="1"/>
    </xf>
    <xf numFmtId="38" fontId="15" fillId="0" borderId="68" xfId="49" applyFont="1" applyFill="1" applyBorder="1" applyAlignment="1">
      <alignment vertical="center" shrinkToFit="1"/>
    </xf>
    <xf numFmtId="38" fontId="15" fillId="0" borderId="38" xfId="49" applyFont="1" applyBorder="1" applyAlignment="1">
      <alignment vertical="center" shrinkToFit="1"/>
    </xf>
    <xf numFmtId="38" fontId="15" fillId="0" borderId="39" xfId="49" applyFont="1" applyBorder="1" applyAlignment="1">
      <alignment vertical="center" shrinkToFit="1"/>
    </xf>
    <xf numFmtId="38" fontId="15" fillId="0" borderId="68" xfId="49" applyFont="1" applyBorder="1" applyAlignment="1">
      <alignment vertical="center" shrinkToFit="1"/>
    </xf>
    <xf numFmtId="38" fontId="15" fillId="0" borderId="106" xfId="49" applyFont="1" applyBorder="1" applyAlignment="1">
      <alignment vertical="center" shrinkToFit="1"/>
    </xf>
    <xf numFmtId="38" fontId="15" fillId="0" borderId="11" xfId="49" applyFont="1" applyBorder="1" applyAlignment="1">
      <alignment vertical="center" shrinkToFit="1"/>
    </xf>
    <xf numFmtId="38" fontId="15" fillId="0" borderId="11" xfId="49" applyFont="1" applyBorder="1" applyAlignment="1" applyProtection="1">
      <alignment vertical="center" shrinkToFit="1"/>
      <protection locked="0"/>
    </xf>
    <xf numFmtId="38" fontId="15" fillId="0" borderId="108" xfId="49" applyFont="1" applyBorder="1" applyAlignment="1" applyProtection="1">
      <alignment vertical="center" shrinkToFit="1"/>
      <protection locked="0"/>
    </xf>
    <xf numFmtId="38" fontId="15" fillId="0" borderId="109" xfId="49" applyFont="1" applyBorder="1" applyAlignment="1" applyProtection="1">
      <alignment vertical="center" shrinkToFit="1"/>
      <protection locked="0"/>
    </xf>
    <xf numFmtId="201" fontId="5" fillId="0" borderId="21" xfId="49" applyNumberFormat="1" applyFont="1" applyFill="1" applyBorder="1" applyAlignment="1">
      <alignment horizontal="center" vertical="center"/>
    </xf>
    <xf numFmtId="38" fontId="15" fillId="0" borderId="90" xfId="49" applyFont="1" applyFill="1" applyBorder="1" applyAlignment="1">
      <alignment vertical="center" shrinkToFit="1"/>
    </xf>
    <xf numFmtId="38" fontId="15" fillId="0" borderId="29" xfId="49" applyFont="1" applyBorder="1" applyAlignment="1">
      <alignment vertical="center" shrinkToFit="1"/>
    </xf>
    <xf numFmtId="38" fontId="15" fillId="0" borderId="23" xfId="49" applyFont="1" applyFill="1" applyBorder="1" applyAlignment="1">
      <alignment horizontal="right" vertical="center" shrinkToFit="1"/>
    </xf>
    <xf numFmtId="38" fontId="15" fillId="0" borderId="24" xfId="49" applyFont="1" applyFill="1" applyBorder="1" applyAlignment="1">
      <alignment horizontal="right" vertical="center" shrinkToFit="1"/>
    </xf>
    <xf numFmtId="38" fontId="15" fillId="0" borderId="62" xfId="49" applyFont="1" applyFill="1" applyBorder="1" applyAlignment="1">
      <alignment horizontal="right" vertical="center" shrinkToFit="1"/>
    </xf>
    <xf numFmtId="38" fontId="15" fillId="0" borderId="27" xfId="49" applyFont="1" applyFill="1" applyBorder="1" applyAlignment="1">
      <alignment horizontal="right" vertical="center" shrinkToFit="1"/>
    </xf>
    <xf numFmtId="38" fontId="15" fillId="0" borderId="65" xfId="49" applyFont="1" applyFill="1" applyBorder="1" applyAlignment="1">
      <alignment horizontal="right" vertical="center" shrinkToFit="1"/>
    </xf>
    <xf numFmtId="38" fontId="15" fillId="0" borderId="25" xfId="49" applyFont="1" applyFill="1" applyBorder="1" applyAlignment="1">
      <alignment horizontal="right" vertical="center" shrinkToFit="1"/>
    </xf>
    <xf numFmtId="38" fontId="15" fillId="0" borderId="24" xfId="49" applyFont="1" applyBorder="1" applyAlignment="1">
      <alignment horizontal="right" vertical="center" shrinkToFit="1"/>
    </xf>
    <xf numFmtId="38" fontId="15" fillId="0" borderId="105" xfId="49" applyFont="1" applyBorder="1" applyAlignment="1">
      <alignment horizontal="right" vertical="center" shrinkToFit="1"/>
    </xf>
    <xf numFmtId="38" fontId="15" fillId="0" borderId="37" xfId="49" applyFont="1" applyFill="1" applyBorder="1" applyAlignment="1">
      <alignment horizontal="right" vertical="center" shrinkToFit="1"/>
    </xf>
    <xf numFmtId="38" fontId="15" fillId="0" borderId="38" xfId="49" applyFont="1" applyFill="1" applyBorder="1" applyAlignment="1">
      <alignment horizontal="right" vertical="center" shrinkToFit="1"/>
    </xf>
    <xf numFmtId="38" fontId="15" fillId="0" borderId="64" xfId="49" applyFont="1" applyFill="1" applyBorder="1" applyAlignment="1">
      <alignment horizontal="right" vertical="center" shrinkToFit="1"/>
    </xf>
    <xf numFmtId="38" fontId="15" fillId="0" borderId="68" xfId="49" applyFont="1" applyFill="1" applyBorder="1" applyAlignment="1">
      <alignment horizontal="right" vertical="center" shrinkToFit="1"/>
    </xf>
    <xf numFmtId="38" fontId="15" fillId="0" borderId="69" xfId="49" applyFont="1" applyFill="1" applyBorder="1" applyAlignment="1">
      <alignment horizontal="right" vertical="center" shrinkToFit="1"/>
    </xf>
    <xf numFmtId="38" fontId="15" fillId="0" borderId="38" xfId="49" applyFont="1" applyBorder="1" applyAlignment="1">
      <alignment horizontal="right" vertical="center" shrinkToFit="1"/>
    </xf>
    <xf numFmtId="38" fontId="15" fillId="0" borderId="39" xfId="49" applyFont="1" applyBorder="1" applyAlignment="1">
      <alignment horizontal="right" vertical="center" shrinkToFit="1"/>
    </xf>
    <xf numFmtId="38" fontId="15" fillId="0" borderId="68" xfId="49" applyFont="1" applyBorder="1" applyAlignment="1">
      <alignment horizontal="right" vertical="center" shrinkToFit="1"/>
    </xf>
    <xf numFmtId="38" fontId="15" fillId="0" borderId="109" xfId="49" applyFont="1" applyBorder="1" applyAlignment="1">
      <alignment vertical="center" shrinkToFit="1"/>
    </xf>
    <xf numFmtId="3" fontId="5" fillId="13" borderId="32" xfId="49" applyNumberFormat="1" applyFont="1" applyFill="1" applyBorder="1" applyAlignment="1" applyProtection="1">
      <alignment vertical="center" shrinkToFit="1"/>
      <protection locked="0"/>
    </xf>
    <xf numFmtId="3" fontId="5" fillId="13" borderId="110" xfId="49" applyNumberFormat="1" applyFont="1" applyFill="1" applyBorder="1" applyAlignment="1" applyProtection="1">
      <alignment vertical="center" shrinkToFit="1"/>
      <protection locked="0"/>
    </xf>
    <xf numFmtId="3" fontId="5" fillId="13" borderId="24" xfId="49" applyNumberFormat="1" applyFont="1" applyFill="1" applyBorder="1" applyAlignment="1" applyProtection="1">
      <alignment vertical="center" shrinkToFit="1"/>
      <protection locked="0"/>
    </xf>
    <xf numFmtId="3" fontId="5" fillId="13" borderId="15" xfId="49" applyNumberFormat="1" applyFont="1" applyFill="1" applyBorder="1" applyAlignment="1" applyProtection="1">
      <alignment vertical="center" shrinkToFit="1"/>
      <protection locked="0"/>
    </xf>
    <xf numFmtId="3" fontId="5" fillId="13" borderId="26" xfId="49" applyNumberFormat="1" applyFont="1" applyFill="1" applyBorder="1" applyAlignment="1" applyProtection="1">
      <alignment vertical="center" shrinkToFit="1"/>
      <protection locked="0"/>
    </xf>
    <xf numFmtId="3" fontId="5" fillId="13" borderId="111" xfId="49" applyNumberFormat="1" applyFont="1" applyFill="1" applyBorder="1" applyAlignment="1" applyProtection="1">
      <alignment vertical="center" shrinkToFit="1"/>
      <protection locked="0"/>
    </xf>
    <xf numFmtId="3" fontId="5" fillId="13" borderId="112" xfId="49" applyNumberFormat="1" applyFont="1" applyFill="1" applyBorder="1" applyAlignment="1" applyProtection="1">
      <alignment vertical="center" shrinkToFit="1"/>
      <protection locked="0"/>
    </xf>
    <xf numFmtId="3" fontId="5" fillId="13" borderId="113" xfId="49" applyNumberFormat="1" applyFont="1" applyFill="1" applyBorder="1" applyAlignment="1" applyProtection="1">
      <alignment vertical="center" shrinkToFit="1"/>
      <protection locked="0"/>
    </xf>
    <xf numFmtId="3" fontId="5" fillId="13" borderId="38" xfId="49" applyNumberFormat="1" applyFont="1" applyFill="1" applyBorder="1" applyAlignment="1" applyProtection="1">
      <alignment vertical="center" shrinkToFit="1"/>
      <protection locked="0"/>
    </xf>
    <xf numFmtId="3" fontId="5" fillId="13" borderId="48" xfId="49" applyNumberFormat="1" applyFont="1" applyFill="1" applyBorder="1" applyAlignment="1" applyProtection="1">
      <alignment vertical="center" shrinkToFit="1"/>
      <protection locked="0"/>
    </xf>
    <xf numFmtId="3" fontId="5" fillId="13" borderId="114" xfId="49" applyNumberFormat="1" applyFont="1" applyFill="1" applyBorder="1" applyAlignment="1" applyProtection="1">
      <alignment vertical="center" shrinkToFit="1"/>
      <protection locked="0"/>
    </xf>
    <xf numFmtId="3" fontId="5" fillId="13" borderId="115" xfId="49" applyNumberFormat="1" applyFont="1" applyFill="1" applyBorder="1" applyAlignment="1" applyProtection="1">
      <alignment vertical="center" shrinkToFit="1"/>
      <protection locked="0"/>
    </xf>
    <xf numFmtId="3" fontId="5" fillId="13" borderId="116" xfId="49" applyNumberFormat="1" applyFont="1" applyFill="1" applyBorder="1" applyAlignment="1" applyProtection="1">
      <alignment vertical="center" shrinkToFit="1"/>
      <protection locked="0"/>
    </xf>
    <xf numFmtId="3" fontId="5" fillId="13" borderId="91" xfId="49" applyNumberFormat="1" applyFont="1" applyFill="1" applyBorder="1" applyAlignment="1" applyProtection="1">
      <alignment vertical="center" shrinkToFit="1"/>
      <protection locked="0"/>
    </xf>
    <xf numFmtId="3" fontId="5" fillId="13" borderId="34" xfId="49" applyNumberFormat="1" applyFont="1" applyFill="1" applyBorder="1" applyAlignment="1" applyProtection="1">
      <alignment vertical="center" shrinkToFit="1"/>
      <protection locked="0"/>
    </xf>
    <xf numFmtId="3" fontId="5" fillId="13" borderId="117" xfId="49" applyNumberFormat="1" applyFont="1" applyFill="1" applyBorder="1" applyAlignment="1" applyProtection="1">
      <alignment vertical="center" shrinkToFit="1"/>
      <protection locked="0"/>
    </xf>
    <xf numFmtId="3" fontId="5" fillId="13" borderId="53" xfId="49" applyNumberFormat="1" applyFont="1" applyFill="1" applyBorder="1" applyAlignment="1" applyProtection="1">
      <alignment vertical="center" shrinkToFit="1"/>
      <protection locked="0"/>
    </xf>
    <xf numFmtId="3" fontId="5" fillId="13" borderId="84" xfId="49" applyNumberFormat="1" applyFont="1" applyFill="1" applyBorder="1" applyAlignment="1" applyProtection="1">
      <alignment vertical="center" shrinkToFit="1"/>
      <protection locked="0"/>
    </xf>
    <xf numFmtId="3" fontId="5" fillId="13" borderId="67" xfId="49" applyNumberFormat="1" applyFont="1" applyFill="1" applyBorder="1" applyAlignment="1">
      <alignment vertical="center"/>
    </xf>
    <xf numFmtId="3" fontId="5" fillId="13" borderId="32" xfId="49" applyNumberFormat="1" applyFont="1" applyFill="1" applyBorder="1" applyAlignment="1">
      <alignment vertical="center"/>
    </xf>
    <xf numFmtId="3" fontId="5" fillId="13" borderId="46" xfId="49" applyNumberFormat="1" applyFont="1" applyFill="1" applyBorder="1" applyAlignment="1">
      <alignment vertical="center"/>
    </xf>
    <xf numFmtId="3" fontId="5" fillId="13" borderId="32" xfId="49" applyNumberFormat="1" applyFont="1" applyFill="1" applyBorder="1" applyAlignment="1" applyProtection="1">
      <alignment vertical="center"/>
      <protection locked="0"/>
    </xf>
    <xf numFmtId="3" fontId="5" fillId="13" borderId="110" xfId="49" applyNumberFormat="1" applyFont="1" applyFill="1" applyBorder="1" applyAlignment="1" applyProtection="1">
      <alignment vertical="center"/>
      <protection locked="0"/>
    </xf>
    <xf numFmtId="3" fontId="5" fillId="13" borderId="69" xfId="49" applyNumberFormat="1" applyFont="1" applyFill="1" applyBorder="1" applyAlignment="1">
      <alignment vertical="center"/>
    </xf>
    <xf numFmtId="3" fontId="5" fillId="13" borderId="38" xfId="49" applyNumberFormat="1" applyFont="1" applyFill="1" applyBorder="1" applyAlignment="1">
      <alignment vertical="center"/>
    </xf>
    <xf numFmtId="3" fontId="5" fillId="13" borderId="38" xfId="49" applyNumberFormat="1" applyFont="1" applyFill="1" applyBorder="1" applyAlignment="1" applyProtection="1">
      <alignment vertical="center"/>
      <protection locked="0"/>
    </xf>
    <xf numFmtId="3" fontId="5" fillId="13" borderId="111" xfId="49" applyNumberFormat="1" applyFont="1" applyFill="1" applyBorder="1" applyAlignment="1" applyProtection="1">
      <alignment vertical="center"/>
      <protection locked="0"/>
    </xf>
    <xf numFmtId="3" fontId="5" fillId="13" borderId="70" xfId="49" applyNumberFormat="1" applyFont="1" applyFill="1" applyBorder="1" applyAlignment="1">
      <alignment vertical="center"/>
    </xf>
    <xf numFmtId="3" fontId="5" fillId="13" borderId="34" xfId="49" applyNumberFormat="1" applyFont="1" applyFill="1" applyBorder="1" applyAlignment="1">
      <alignment vertical="center"/>
    </xf>
    <xf numFmtId="3" fontId="5" fillId="13" borderId="34" xfId="49" applyNumberFormat="1" applyFont="1" applyFill="1" applyBorder="1" applyAlignment="1" applyProtection="1">
      <alignment vertical="center"/>
      <protection locked="0"/>
    </xf>
    <xf numFmtId="3" fontId="5" fillId="13" borderId="112" xfId="49" applyNumberFormat="1" applyFont="1" applyFill="1" applyBorder="1" applyAlignment="1" applyProtection="1">
      <alignment vertical="center"/>
      <protection locked="0"/>
    </xf>
    <xf numFmtId="3" fontId="5" fillId="13" borderId="72" xfId="49" applyNumberFormat="1" applyFont="1" applyFill="1" applyBorder="1" applyAlignment="1">
      <alignment vertical="center"/>
    </xf>
    <xf numFmtId="3" fontId="5" fillId="13" borderId="47" xfId="49" applyNumberFormat="1" applyFont="1" applyFill="1" applyBorder="1" applyAlignment="1">
      <alignment vertical="center"/>
    </xf>
    <xf numFmtId="3" fontId="5" fillId="13" borderId="45" xfId="49" applyNumberFormat="1" applyFont="1" applyFill="1" applyBorder="1" applyAlignment="1">
      <alignment vertical="center"/>
    </xf>
    <xf numFmtId="3" fontId="5" fillId="13" borderId="118" xfId="49" applyNumberFormat="1" applyFont="1" applyFill="1" applyBorder="1" applyAlignment="1">
      <alignment vertical="center"/>
    </xf>
    <xf numFmtId="3" fontId="5" fillId="13" borderId="0" xfId="49" applyNumberFormat="1" applyFont="1" applyFill="1" applyBorder="1" applyAlignment="1">
      <alignment vertical="center"/>
    </xf>
    <xf numFmtId="3" fontId="5" fillId="13" borderId="65" xfId="49" applyNumberFormat="1" applyFont="1" applyFill="1" applyBorder="1" applyAlignment="1">
      <alignment vertical="center"/>
    </xf>
    <xf numFmtId="3" fontId="5" fillId="13" borderId="24" xfId="49" applyNumberFormat="1" applyFont="1" applyFill="1" applyBorder="1" applyAlignment="1">
      <alignment vertical="center"/>
    </xf>
    <xf numFmtId="3" fontId="5" fillId="13" borderId="24" xfId="49" applyNumberFormat="1" applyFont="1" applyFill="1" applyBorder="1" applyAlignment="1" applyProtection="1">
      <alignment vertical="center"/>
      <protection locked="0"/>
    </xf>
    <xf numFmtId="3" fontId="5" fillId="13" borderId="26" xfId="49" applyNumberFormat="1" applyFont="1" applyFill="1" applyBorder="1" applyAlignment="1" applyProtection="1">
      <alignment vertical="center"/>
      <protection locked="0"/>
    </xf>
    <xf numFmtId="3" fontId="5" fillId="13" borderId="48" xfId="49" applyNumberFormat="1" applyFont="1" applyFill="1" applyBorder="1" applyAlignment="1" applyProtection="1">
      <alignment vertical="center"/>
      <protection locked="0"/>
    </xf>
    <xf numFmtId="3" fontId="5" fillId="13" borderId="113" xfId="49" applyNumberFormat="1" applyFont="1" applyFill="1" applyBorder="1" applyAlignment="1" applyProtection="1">
      <alignment vertical="center"/>
      <protection locked="0"/>
    </xf>
    <xf numFmtId="3" fontId="5" fillId="13" borderId="73" xfId="49" applyNumberFormat="1" applyFont="1" applyFill="1" applyBorder="1" applyAlignment="1">
      <alignment vertical="center"/>
    </xf>
    <xf numFmtId="3" fontId="5" fillId="13" borderId="53" xfId="49" applyNumberFormat="1" applyFont="1" applyFill="1" applyBorder="1" applyAlignment="1">
      <alignment vertical="center"/>
    </xf>
    <xf numFmtId="3" fontId="5" fillId="13" borderId="53" xfId="49" applyNumberFormat="1" applyFont="1" applyFill="1" applyBorder="1" applyAlignment="1" applyProtection="1">
      <alignment vertical="center"/>
      <protection locked="0"/>
    </xf>
    <xf numFmtId="3" fontId="5" fillId="13" borderId="84" xfId="49" applyNumberFormat="1" applyFont="1" applyFill="1" applyBorder="1" applyAlignment="1" applyProtection="1">
      <alignment vertical="center"/>
      <protection locked="0"/>
    </xf>
    <xf numFmtId="3" fontId="5" fillId="13" borderId="58" xfId="49" applyNumberFormat="1" applyFont="1" applyFill="1" applyBorder="1" applyAlignment="1" applyProtection="1">
      <alignment vertical="center"/>
      <protection locked="0"/>
    </xf>
    <xf numFmtId="3" fontId="5" fillId="13" borderId="119" xfId="49" applyNumberFormat="1" applyFont="1" applyFill="1" applyBorder="1" applyAlignment="1" applyProtection="1">
      <alignment vertical="center"/>
      <protection locked="0"/>
    </xf>
    <xf numFmtId="38" fontId="15" fillId="13" borderId="65" xfId="49" applyFont="1" applyFill="1" applyBorder="1" applyAlignment="1">
      <alignment vertical="center" shrinkToFit="1"/>
    </xf>
    <xf numFmtId="38" fontId="15" fillId="13" borderId="24" xfId="49" applyFont="1" applyFill="1" applyBorder="1" applyAlignment="1">
      <alignment vertical="center" shrinkToFit="1"/>
    </xf>
    <xf numFmtId="38" fontId="15" fillId="13" borderId="24" xfId="49" applyFont="1" applyFill="1" applyBorder="1" applyAlignment="1" applyProtection="1">
      <alignment vertical="center" shrinkToFit="1"/>
      <protection locked="0"/>
    </xf>
    <xf numFmtId="38" fontId="15" fillId="13" borderId="26" xfId="49" applyFont="1" applyFill="1" applyBorder="1" applyAlignment="1" applyProtection="1">
      <alignment vertical="center" shrinkToFit="1"/>
      <protection locked="0"/>
    </xf>
    <xf numFmtId="38" fontId="15" fillId="13" borderId="120" xfId="49" applyFont="1" applyFill="1" applyBorder="1" applyAlignment="1" applyProtection="1">
      <alignment vertical="center" shrinkToFit="1"/>
      <protection locked="0"/>
    </xf>
    <xf numFmtId="38" fontId="15" fillId="13" borderId="67" xfId="49" applyFont="1" applyFill="1" applyBorder="1" applyAlignment="1">
      <alignment vertical="center" shrinkToFit="1"/>
    </xf>
    <xf numFmtId="38" fontId="15" fillId="13" borderId="32" xfId="49" applyFont="1" applyFill="1" applyBorder="1" applyAlignment="1">
      <alignment vertical="center" shrinkToFit="1"/>
    </xf>
    <xf numFmtId="38" fontId="15" fillId="13" borderId="32" xfId="49" applyFont="1" applyFill="1" applyBorder="1" applyAlignment="1" applyProtection="1">
      <alignment vertical="center" shrinkToFit="1"/>
      <protection locked="0"/>
    </xf>
    <xf numFmtId="38" fontId="15" fillId="13" borderId="110" xfId="49" applyFont="1" applyFill="1" applyBorder="1" applyAlignment="1" applyProtection="1">
      <alignment vertical="center" shrinkToFit="1"/>
      <protection locked="0"/>
    </xf>
    <xf numFmtId="38" fontId="15" fillId="13" borderId="69" xfId="49" applyFont="1" applyFill="1" applyBorder="1" applyAlignment="1">
      <alignment vertical="center" shrinkToFit="1"/>
    </xf>
    <xf numFmtId="38" fontId="15" fillId="13" borderId="38" xfId="49" applyFont="1" applyFill="1" applyBorder="1" applyAlignment="1">
      <alignment vertical="center" shrinkToFit="1"/>
    </xf>
    <xf numFmtId="38" fontId="15" fillId="13" borderId="38" xfId="49" applyFont="1" applyFill="1" applyBorder="1" applyAlignment="1" applyProtection="1">
      <alignment vertical="center" shrinkToFit="1"/>
      <protection locked="0"/>
    </xf>
    <xf numFmtId="38" fontId="15" fillId="13" borderId="111" xfId="49" applyFont="1" applyFill="1" applyBorder="1" applyAlignment="1" applyProtection="1">
      <alignment vertical="center" shrinkToFit="1"/>
      <protection locked="0"/>
    </xf>
    <xf numFmtId="38" fontId="15" fillId="13" borderId="70" xfId="49" applyFont="1" applyFill="1" applyBorder="1" applyAlignment="1">
      <alignment vertical="center" shrinkToFit="1"/>
    </xf>
    <xf numFmtId="38" fontId="15" fillId="13" borderId="34" xfId="49" applyFont="1" applyFill="1" applyBorder="1" applyAlignment="1">
      <alignment vertical="center" shrinkToFit="1"/>
    </xf>
    <xf numFmtId="38" fontId="15" fillId="13" borderId="34" xfId="49" applyFont="1" applyFill="1" applyBorder="1" applyAlignment="1" applyProtection="1">
      <alignment vertical="center" shrinkToFit="1"/>
      <protection locked="0"/>
    </xf>
    <xf numFmtId="38" fontId="15" fillId="13" borderId="112" xfId="49" applyFont="1" applyFill="1" applyBorder="1" applyAlignment="1" applyProtection="1">
      <alignment vertical="center" shrinkToFit="1"/>
      <protection locked="0"/>
    </xf>
    <xf numFmtId="38" fontId="15" fillId="13" borderId="62" xfId="49" applyFont="1" applyFill="1" applyBorder="1" applyAlignment="1" applyProtection="1">
      <alignment vertical="center" shrinkToFit="1"/>
      <protection locked="0"/>
    </xf>
    <xf numFmtId="38" fontId="15" fillId="13" borderId="64" xfId="49" applyFont="1" applyFill="1" applyBorder="1" applyAlignment="1" applyProtection="1">
      <alignment vertical="center" shrinkToFit="1"/>
      <protection locked="0"/>
    </xf>
    <xf numFmtId="38" fontId="15" fillId="13" borderId="95" xfId="49" applyFont="1" applyFill="1" applyBorder="1" applyAlignment="1" applyProtection="1">
      <alignment vertical="center" shrinkToFit="1"/>
      <protection locked="0"/>
    </xf>
    <xf numFmtId="38" fontId="15" fillId="13" borderId="72" xfId="49" applyFont="1" applyFill="1" applyBorder="1" applyAlignment="1">
      <alignment vertical="center" shrinkToFit="1"/>
    </xf>
    <xf numFmtId="38" fontId="15" fillId="13" borderId="47" xfId="49" applyFont="1" applyFill="1" applyBorder="1" applyAlignment="1">
      <alignment vertical="center" shrinkToFit="1"/>
    </xf>
    <xf numFmtId="38" fontId="15" fillId="13" borderId="46" xfId="49" applyFont="1" applyFill="1" applyBorder="1" applyAlignment="1">
      <alignment vertical="center" shrinkToFit="1"/>
    </xf>
    <xf numFmtId="38" fontId="15" fillId="13" borderId="45" xfId="49" applyFont="1" applyFill="1" applyBorder="1" applyAlignment="1">
      <alignment vertical="center" shrinkToFit="1"/>
    </xf>
    <xf numFmtId="38" fontId="15" fillId="13" borderId="118" xfId="49" applyFont="1" applyFill="1" applyBorder="1" applyAlignment="1">
      <alignment vertical="center" shrinkToFit="1"/>
    </xf>
    <xf numFmtId="38" fontId="15" fillId="13" borderId="27" xfId="49" applyFont="1" applyFill="1" applyBorder="1" applyAlignment="1">
      <alignment vertical="center" shrinkToFit="1"/>
    </xf>
    <xf numFmtId="0" fontId="16" fillId="13" borderId="38" xfId="0" applyFont="1" applyFill="1" applyBorder="1" applyAlignment="1">
      <alignment vertical="center"/>
    </xf>
    <xf numFmtId="0" fontId="16" fillId="13" borderId="111" xfId="0" applyFont="1" applyFill="1" applyBorder="1" applyAlignment="1">
      <alignment vertical="center"/>
    </xf>
    <xf numFmtId="0" fontId="16" fillId="13" borderId="50" xfId="0" applyFont="1" applyFill="1" applyBorder="1" applyAlignment="1">
      <alignment vertical="center"/>
    </xf>
    <xf numFmtId="38" fontId="15" fillId="13" borderId="0" xfId="49" applyFont="1" applyFill="1" applyBorder="1" applyAlignment="1">
      <alignment vertical="center" shrinkToFit="1"/>
    </xf>
    <xf numFmtId="38" fontId="15" fillId="13" borderId="48" xfId="49" applyFont="1" applyFill="1" applyBorder="1" applyAlignment="1" applyProtection="1">
      <alignment vertical="center" shrinkToFit="1"/>
      <protection locked="0"/>
    </xf>
    <xf numFmtId="38" fontId="15" fillId="13" borderId="113" xfId="49" applyFont="1" applyFill="1" applyBorder="1" applyAlignment="1" applyProtection="1">
      <alignment vertical="center" shrinkToFit="1"/>
      <protection locked="0"/>
    </xf>
    <xf numFmtId="38" fontId="15" fillId="13" borderId="81" xfId="49" applyFont="1" applyFill="1" applyBorder="1" applyAlignment="1" applyProtection="1">
      <alignment vertical="center" shrinkToFit="1"/>
      <protection locked="0"/>
    </xf>
    <xf numFmtId="38" fontId="15" fillId="13" borderId="84" xfId="49" applyFont="1" applyFill="1" applyBorder="1" applyAlignment="1" applyProtection="1">
      <alignment vertical="center" shrinkToFit="1"/>
      <protection locked="0"/>
    </xf>
    <xf numFmtId="38" fontId="15" fillId="13" borderId="73" xfId="49" applyFont="1" applyFill="1" applyBorder="1" applyAlignment="1">
      <alignment vertical="center" shrinkToFit="1"/>
    </xf>
    <xf numFmtId="38" fontId="15" fillId="13" borderId="53" xfId="49" applyFont="1" applyFill="1" applyBorder="1" applyAlignment="1">
      <alignment vertical="center" shrinkToFit="1"/>
    </xf>
    <xf numFmtId="38" fontId="15" fillId="13" borderId="53" xfId="49" applyFont="1" applyFill="1" applyBorder="1" applyAlignment="1" applyProtection="1">
      <alignment vertical="center" shrinkToFit="1"/>
      <protection locked="0"/>
    </xf>
    <xf numFmtId="38" fontId="15" fillId="13" borderId="58" xfId="49" applyFont="1" applyFill="1" applyBorder="1" applyAlignment="1" applyProtection="1">
      <alignment vertical="center" shrinkToFit="1"/>
      <protection locked="0"/>
    </xf>
    <xf numFmtId="38" fontId="15" fillId="13" borderId="119" xfId="49" applyFont="1" applyFill="1" applyBorder="1" applyAlignment="1" applyProtection="1">
      <alignment vertical="center" shrinkToFit="1"/>
      <protection locked="0"/>
    </xf>
    <xf numFmtId="38" fontId="15" fillId="13" borderId="121" xfId="49" applyFont="1" applyFill="1" applyBorder="1" applyAlignment="1" applyProtection="1">
      <alignment vertical="center" shrinkToFit="1"/>
      <protection locked="0"/>
    </xf>
    <xf numFmtId="38" fontId="15" fillId="13" borderId="48" xfId="49" applyFont="1" applyFill="1" applyBorder="1" applyAlignment="1">
      <alignment vertical="center" shrinkToFit="1"/>
    </xf>
    <xf numFmtId="38" fontId="15" fillId="13" borderId="25" xfId="49" applyFont="1" applyFill="1" applyBorder="1" applyAlignment="1">
      <alignment vertical="center" shrinkToFit="1"/>
    </xf>
    <xf numFmtId="38" fontId="15" fillId="13" borderId="33" xfId="49" applyFont="1" applyFill="1" applyBorder="1" applyAlignment="1">
      <alignment vertical="center" shrinkToFit="1"/>
    </xf>
    <xf numFmtId="38" fontId="15" fillId="13" borderId="39" xfId="49" applyFont="1" applyFill="1" applyBorder="1" applyAlignment="1">
      <alignment vertical="center" shrinkToFit="1"/>
    </xf>
    <xf numFmtId="38" fontId="15" fillId="13" borderId="42" xfId="49" applyFont="1" applyFill="1" applyBorder="1" applyAlignment="1">
      <alignment vertical="center" shrinkToFit="1"/>
    </xf>
    <xf numFmtId="38" fontId="15" fillId="13" borderId="22" xfId="49" applyFont="1" applyFill="1" applyBorder="1" applyAlignment="1">
      <alignment vertical="center" shrinkToFit="1"/>
    </xf>
    <xf numFmtId="38" fontId="15" fillId="13" borderId="15" xfId="49" applyFont="1" applyFill="1" applyBorder="1" applyAlignment="1">
      <alignment vertical="center" shrinkToFit="1"/>
    </xf>
    <xf numFmtId="201" fontId="17" fillId="0" borderId="0" xfId="49" applyNumberFormat="1" applyFont="1" applyFill="1" applyBorder="1" applyAlignment="1">
      <alignment horizontal="left" vertical="center"/>
    </xf>
    <xf numFmtId="201" fontId="12" fillId="0" borderId="0" xfId="49" applyNumberFormat="1" applyFont="1" applyFill="1" applyBorder="1" applyAlignment="1">
      <alignment horizontal="left" vertical="center"/>
    </xf>
    <xf numFmtId="3" fontId="12" fillId="0" borderId="28" xfId="49" applyNumberFormat="1" applyFont="1" applyFill="1" applyBorder="1" applyAlignment="1" applyProtection="1">
      <alignment vertical="center" shrinkToFit="1"/>
      <protection locked="0"/>
    </xf>
    <xf numFmtId="3" fontId="12" fillId="0" borderId="77" xfId="49" applyNumberFormat="1" applyFont="1" applyFill="1" applyBorder="1" applyAlignment="1" applyProtection="1">
      <alignment vertical="center" shrinkToFit="1"/>
      <protection locked="0"/>
    </xf>
    <xf numFmtId="3" fontId="12" fillId="0" borderId="122" xfId="49" applyNumberFormat="1" applyFont="1" applyFill="1" applyBorder="1" applyAlignment="1" applyProtection="1">
      <alignment vertical="center" shrinkToFit="1"/>
      <protection locked="0"/>
    </xf>
    <xf numFmtId="3" fontId="12" fillId="0" borderId="123" xfId="49" applyNumberFormat="1" applyFont="1" applyFill="1" applyBorder="1" applyAlignment="1" applyProtection="1">
      <alignment vertical="center" shrinkToFit="1"/>
      <protection locked="0"/>
    </xf>
    <xf numFmtId="3" fontId="12" fillId="0" borderId="79" xfId="49" applyNumberFormat="1" applyFont="1" applyFill="1" applyBorder="1" applyAlignment="1" applyProtection="1">
      <alignment vertical="center" shrinkToFit="1"/>
      <protection locked="0"/>
    </xf>
    <xf numFmtId="3" fontId="12" fillId="0" borderId="23" xfId="49" applyNumberFormat="1" applyFont="1" applyFill="1" applyBorder="1" applyAlignment="1" applyProtection="1">
      <alignment vertical="center" shrinkToFit="1"/>
      <protection locked="0"/>
    </xf>
    <xf numFmtId="3" fontId="12" fillId="0" borderId="114" xfId="49" applyNumberFormat="1" applyFont="1" applyFill="1" applyBorder="1" applyAlignment="1" applyProtection="1">
      <alignment vertical="center" shrinkToFit="1"/>
      <protection locked="0"/>
    </xf>
    <xf numFmtId="3" fontId="12" fillId="0" borderId="37" xfId="49" applyNumberFormat="1" applyFont="1" applyFill="1" applyBorder="1" applyAlignment="1" applyProtection="1">
      <alignment vertical="center" shrinkToFit="1"/>
      <protection locked="0"/>
    </xf>
    <xf numFmtId="3" fontId="12" fillId="0" borderId="91" xfId="49" applyNumberFormat="1" applyFont="1" applyFill="1" applyBorder="1" applyAlignment="1" applyProtection="1">
      <alignment vertical="center" shrinkToFit="1"/>
      <protection locked="0"/>
    </xf>
    <xf numFmtId="3" fontId="12" fillId="0" borderId="10" xfId="49" applyNumberFormat="1" applyFont="1" applyFill="1" applyBorder="1" applyAlignment="1" applyProtection="1">
      <alignment vertical="center" shrinkToFit="1"/>
      <protection locked="0"/>
    </xf>
    <xf numFmtId="3" fontId="12" fillId="0" borderId="124" xfId="49" applyNumberFormat="1" applyFont="1" applyFill="1" applyBorder="1" applyAlignment="1" applyProtection="1">
      <alignment vertical="center" shrinkToFit="1"/>
      <protection locked="0"/>
    </xf>
    <xf numFmtId="3" fontId="12" fillId="0" borderId="51" xfId="49" applyNumberFormat="1" applyFont="1" applyFill="1" applyBorder="1" applyAlignment="1" applyProtection="1">
      <alignment vertical="center" shrinkToFit="1"/>
      <protection locked="0"/>
    </xf>
    <xf numFmtId="3" fontId="12" fillId="0" borderId="26" xfId="49" applyNumberFormat="1" applyFont="1" applyFill="1" applyBorder="1" applyAlignment="1" applyProtection="1">
      <alignment vertical="center" shrinkToFit="1"/>
      <protection locked="0"/>
    </xf>
    <xf numFmtId="3" fontId="12" fillId="0" borderId="111" xfId="49" applyNumberFormat="1" applyFont="1" applyFill="1" applyBorder="1" applyAlignment="1" applyProtection="1">
      <alignment vertical="center" shrinkToFit="1"/>
      <protection locked="0"/>
    </xf>
    <xf numFmtId="3" fontId="12" fillId="0" borderId="52" xfId="49" applyNumberFormat="1" applyFont="1" applyFill="1" applyBorder="1" applyAlignment="1" applyProtection="1">
      <alignment vertical="center" shrinkToFit="1"/>
      <protection locked="0"/>
    </xf>
    <xf numFmtId="3" fontId="12" fillId="0" borderId="113" xfId="49" applyNumberFormat="1" applyFont="1" applyFill="1" applyBorder="1" applyAlignment="1" applyProtection="1">
      <alignment vertical="center" shrinkToFit="1"/>
      <protection locked="0"/>
    </xf>
    <xf numFmtId="3" fontId="12" fillId="0" borderId="41" xfId="49" applyNumberFormat="1" applyFont="1" applyFill="1" applyBorder="1" applyAlignment="1" applyProtection="1">
      <alignment vertical="center" shrinkToFit="1"/>
      <protection locked="0"/>
    </xf>
    <xf numFmtId="3" fontId="12" fillId="0" borderId="112" xfId="49" applyNumberFormat="1" applyFont="1" applyFill="1" applyBorder="1" applyAlignment="1" applyProtection="1">
      <alignment vertical="center" shrinkToFit="1"/>
      <protection locked="0"/>
    </xf>
    <xf numFmtId="3" fontId="12" fillId="0" borderId="19" xfId="49" applyNumberFormat="1" applyFont="1" applyFill="1" applyBorder="1" applyAlignment="1" applyProtection="1">
      <alignment vertical="center" shrinkToFit="1"/>
      <protection locked="0"/>
    </xf>
    <xf numFmtId="3" fontId="12" fillId="0" borderId="16" xfId="49" applyNumberFormat="1" applyFont="1" applyFill="1" applyBorder="1" applyAlignment="1" applyProtection="1">
      <alignment vertical="center" shrinkToFit="1"/>
      <protection locked="0"/>
    </xf>
    <xf numFmtId="201" fontId="12" fillId="0" borderId="0" xfId="49" applyNumberFormat="1" applyFont="1" applyFill="1" applyBorder="1" applyAlignment="1">
      <alignment vertical="center"/>
    </xf>
    <xf numFmtId="201" fontId="12" fillId="0" borderId="0" xfId="49" applyNumberFormat="1" applyFont="1" applyFill="1" applyBorder="1" applyAlignment="1">
      <alignment/>
    </xf>
    <xf numFmtId="38" fontId="5" fillId="0" borderId="0" xfId="49" applyFont="1" applyBorder="1" applyAlignment="1">
      <alignment/>
    </xf>
    <xf numFmtId="201" fontId="5" fillId="0" borderId="0" xfId="49" applyNumberFormat="1" applyFont="1" applyFill="1" applyBorder="1" applyAlignment="1" quotePrefix="1">
      <alignment/>
    </xf>
    <xf numFmtId="201" fontId="5" fillId="0" borderId="37" xfId="49" applyNumberFormat="1" applyFont="1" applyFill="1" applyBorder="1" applyAlignment="1">
      <alignment horizontal="center" vertical="center"/>
    </xf>
    <xf numFmtId="201" fontId="5" fillId="0" borderId="64" xfId="49" applyNumberFormat="1" applyFont="1" applyFill="1" applyBorder="1" applyAlignment="1">
      <alignment horizontal="center" vertical="center"/>
    </xf>
    <xf numFmtId="201" fontId="5" fillId="0" borderId="40" xfId="49" applyNumberFormat="1" applyFont="1" applyFill="1" applyBorder="1" applyAlignment="1">
      <alignment horizontal="center" vertical="center"/>
    </xf>
    <xf numFmtId="201" fontId="5" fillId="0" borderId="10" xfId="49" applyNumberFormat="1" applyFont="1" applyFill="1" applyBorder="1" applyAlignment="1">
      <alignment horizontal="center" vertical="center"/>
    </xf>
    <xf numFmtId="201" fontId="5" fillId="0" borderId="14" xfId="49" applyNumberFormat="1" applyFont="1" applyFill="1" applyBorder="1" applyAlignment="1">
      <alignment horizontal="center" vertical="center"/>
    </xf>
    <xf numFmtId="201" fontId="5" fillId="0" borderId="13" xfId="49" applyNumberFormat="1" applyFont="1" applyFill="1" applyBorder="1" applyAlignment="1">
      <alignment horizontal="center" vertical="center"/>
    </xf>
    <xf numFmtId="201" fontId="5" fillId="0" borderId="51" xfId="49" applyNumberFormat="1" applyFont="1" applyFill="1" applyBorder="1" applyAlignment="1">
      <alignment horizontal="center" vertical="center"/>
    </xf>
    <xf numFmtId="201" fontId="11" fillId="0" borderId="10" xfId="49" applyNumberFormat="1" applyFont="1" applyFill="1" applyBorder="1" applyAlignment="1">
      <alignment horizontal="center" vertical="center"/>
    </xf>
    <xf numFmtId="201" fontId="11" fillId="0" borderId="14" xfId="49" applyNumberFormat="1" applyFont="1" applyFill="1" applyBorder="1" applyAlignment="1">
      <alignment horizontal="center" vertical="center"/>
    </xf>
    <xf numFmtId="201" fontId="11" fillId="0" borderId="13" xfId="49" applyNumberFormat="1" applyFont="1" applyFill="1" applyBorder="1" applyAlignment="1">
      <alignment horizontal="center" vertical="center"/>
    </xf>
    <xf numFmtId="201" fontId="11" fillId="0" borderId="23" xfId="49" applyNumberFormat="1" applyFont="1" applyFill="1" applyBorder="1" applyAlignment="1">
      <alignment horizontal="center" vertical="center"/>
    </xf>
    <xf numFmtId="201" fontId="11" fillId="0" borderId="62" xfId="49" applyNumberFormat="1" applyFont="1" applyFill="1" applyBorder="1" applyAlignment="1">
      <alignment horizontal="center" vertical="center"/>
    </xf>
    <xf numFmtId="201" fontId="11" fillId="0" borderId="36" xfId="49" applyNumberFormat="1" applyFont="1" applyFill="1" applyBorder="1" applyAlignment="1">
      <alignment horizontal="center" vertical="center"/>
    </xf>
    <xf numFmtId="201" fontId="11" fillId="0" borderId="37" xfId="49" applyNumberFormat="1" applyFont="1" applyFill="1" applyBorder="1" applyAlignment="1">
      <alignment horizontal="center" vertical="center"/>
    </xf>
    <xf numFmtId="201" fontId="11" fillId="0" borderId="64" xfId="49" applyNumberFormat="1" applyFont="1" applyFill="1" applyBorder="1" applyAlignment="1">
      <alignment horizontal="center" vertical="center"/>
    </xf>
    <xf numFmtId="201" fontId="11" fillId="0" borderId="40" xfId="49" applyNumberFormat="1" applyFont="1" applyFill="1" applyBorder="1" applyAlignment="1">
      <alignment horizontal="center" vertical="center"/>
    </xf>
    <xf numFmtId="201" fontId="11" fillId="0" borderId="23" xfId="49" applyNumberFormat="1" applyFont="1" applyFill="1" applyBorder="1" applyAlignment="1">
      <alignment horizontal="center" vertical="center" shrinkToFit="1"/>
    </xf>
    <xf numFmtId="201" fontId="11" fillId="0" borderId="62" xfId="49" applyNumberFormat="1" applyFont="1" applyFill="1" applyBorder="1" applyAlignment="1">
      <alignment horizontal="center" vertical="center" shrinkToFit="1"/>
    </xf>
    <xf numFmtId="201" fontId="11" fillId="0" borderId="36" xfId="49" applyNumberFormat="1" applyFont="1" applyFill="1" applyBorder="1" applyAlignment="1">
      <alignment horizontal="center" vertical="center" shrinkToFit="1"/>
    </xf>
    <xf numFmtId="201" fontId="11" fillId="0" borderId="37" xfId="49" applyNumberFormat="1" applyFont="1" applyFill="1" applyBorder="1" applyAlignment="1">
      <alignment horizontal="center" vertical="center" shrinkToFit="1"/>
    </xf>
    <xf numFmtId="201" fontId="11" fillId="0" borderId="64" xfId="49" applyNumberFormat="1" applyFont="1" applyFill="1" applyBorder="1" applyAlignment="1">
      <alignment horizontal="center" vertical="center" shrinkToFit="1"/>
    </xf>
    <xf numFmtId="201" fontId="11" fillId="0" borderId="40" xfId="49" applyNumberFormat="1" applyFont="1" applyFill="1" applyBorder="1" applyAlignment="1">
      <alignment horizontal="center" vertical="center" shrinkToFit="1"/>
    </xf>
    <xf numFmtId="201" fontId="11" fillId="0" borderId="10" xfId="49" applyNumberFormat="1" applyFont="1" applyBorder="1" applyAlignment="1">
      <alignment horizontal="center" vertical="center" shrinkToFit="1"/>
    </xf>
    <xf numFmtId="201" fontId="11" fillId="0" borderId="14" xfId="49" applyNumberFormat="1" applyFont="1" applyBorder="1" applyAlignment="1">
      <alignment horizontal="center" vertical="center" shrinkToFit="1"/>
    </xf>
    <xf numFmtId="201" fontId="11" fillId="0" borderId="13" xfId="49" applyNumberFormat="1" applyFont="1" applyBorder="1" applyAlignment="1">
      <alignment horizontal="center" vertical="center" shrinkToFit="1"/>
    </xf>
    <xf numFmtId="201" fontId="5" fillId="0" borderId="81" xfId="49" applyNumberFormat="1" applyFont="1" applyFill="1" applyBorder="1" applyAlignment="1">
      <alignment horizontal="center" vertical="center"/>
    </xf>
    <xf numFmtId="201" fontId="5" fillId="0" borderId="44" xfId="49" applyNumberFormat="1" applyFont="1" applyFill="1" applyBorder="1" applyAlignment="1">
      <alignment horizontal="center" vertical="center"/>
    </xf>
    <xf numFmtId="201" fontId="5" fillId="0" borderId="116" xfId="49" applyNumberFormat="1" applyFont="1" applyBorder="1" applyAlignment="1">
      <alignment horizontal="center" vertical="center"/>
    </xf>
    <xf numFmtId="3" fontId="12" fillId="0" borderId="110" xfId="49" applyNumberFormat="1" applyFont="1" applyFill="1" applyBorder="1" applyAlignment="1" applyProtection="1">
      <alignment vertical="center" shrinkToFit="1"/>
      <protection locked="0"/>
    </xf>
    <xf numFmtId="3" fontId="5" fillId="13" borderId="125" xfId="49" applyNumberFormat="1" applyFont="1" applyFill="1" applyBorder="1" applyAlignment="1" applyProtection="1">
      <alignment vertical="center" shrinkToFit="1"/>
      <protection locked="0"/>
    </xf>
    <xf numFmtId="3" fontId="5" fillId="0" borderId="114" xfId="49" applyNumberFormat="1" applyFont="1" applyFill="1" applyBorder="1" applyAlignment="1" applyProtection="1">
      <alignment vertical="center" shrinkToFit="1"/>
      <protection locked="0"/>
    </xf>
    <xf numFmtId="3" fontId="5" fillId="0" borderId="105" xfId="49" applyNumberFormat="1" applyFont="1" applyFill="1" applyBorder="1" applyAlignment="1" applyProtection="1">
      <alignment vertical="center"/>
      <protection locked="0"/>
    </xf>
    <xf numFmtId="38" fontId="11" fillId="0" borderId="99" xfId="49" applyFont="1" applyFill="1" applyBorder="1" applyAlignment="1" applyProtection="1">
      <alignment vertical="center" shrinkToFit="1"/>
      <protection locked="0"/>
    </xf>
    <xf numFmtId="38" fontId="15" fillId="0" borderId="105" xfId="49" applyFont="1" applyBorder="1" applyAlignment="1" applyProtection="1">
      <alignment vertical="center" shrinkToFit="1"/>
      <protection locked="0"/>
    </xf>
    <xf numFmtId="201" fontId="19" fillId="0" borderId="0" xfId="49" applyNumberFormat="1" applyFont="1" applyBorder="1" applyAlignment="1">
      <alignment horizontal="distributed" vertical="center"/>
    </xf>
    <xf numFmtId="201" fontId="19" fillId="0" borderId="0" xfId="49" applyNumberFormat="1" applyFont="1" applyBorder="1" applyAlignment="1">
      <alignment horizontal="left" vertical="center"/>
    </xf>
    <xf numFmtId="201" fontId="19" fillId="0" borderId="0" xfId="49" applyNumberFormat="1" applyFont="1" applyBorder="1" applyAlignment="1">
      <alignment/>
    </xf>
    <xf numFmtId="201" fontId="19" fillId="0" borderId="98" xfId="49" applyNumberFormat="1" applyFont="1" applyBorder="1" applyAlignment="1">
      <alignment vertical="center"/>
    </xf>
    <xf numFmtId="201" fontId="19" fillId="0" borderId="0" xfId="49" applyNumberFormat="1" applyFont="1" applyBorder="1" applyAlignment="1">
      <alignment vertical="center"/>
    </xf>
    <xf numFmtId="201" fontId="19" fillId="0" borderId="0" xfId="49" applyNumberFormat="1" applyFont="1" applyBorder="1" applyAlignment="1">
      <alignment horizontal="left"/>
    </xf>
    <xf numFmtId="204" fontId="19" fillId="0" borderId="0" xfId="49" applyNumberFormat="1" applyFont="1" applyBorder="1" applyAlignment="1">
      <alignment horizontal="left"/>
    </xf>
    <xf numFmtId="201" fontId="19" fillId="0" borderId="0" xfId="49" applyNumberFormat="1" applyFont="1" applyBorder="1" applyAlignment="1" applyProtection="1">
      <alignment vertical="center"/>
      <protection locked="0"/>
    </xf>
    <xf numFmtId="201" fontId="19" fillId="0" borderId="0" xfId="49" applyNumberFormat="1" applyFont="1" applyBorder="1" applyAlignment="1" applyProtection="1">
      <alignment horizontal="center" vertical="center"/>
      <protection locked="0"/>
    </xf>
    <xf numFmtId="201" fontId="19" fillId="0" borderId="0" xfId="49" applyNumberFormat="1" applyFont="1" applyBorder="1" applyAlignment="1" applyProtection="1">
      <alignment vertical="center" textRotation="255"/>
      <protection locked="0"/>
    </xf>
    <xf numFmtId="201" fontId="19" fillId="0" borderId="0" xfId="49" applyNumberFormat="1" applyFont="1" applyBorder="1" applyAlignment="1">
      <alignment horizontal="center" vertical="center" textRotation="255"/>
    </xf>
    <xf numFmtId="201" fontId="19" fillId="0" borderId="0" xfId="49" applyNumberFormat="1" applyFont="1" applyBorder="1" applyAlignment="1">
      <alignment vertical="center" textRotation="255"/>
    </xf>
    <xf numFmtId="201" fontId="19" fillId="0" borderId="0" xfId="49" applyNumberFormat="1" applyFont="1" applyBorder="1" applyAlignment="1">
      <alignment horizontal="center" vertical="center"/>
    </xf>
    <xf numFmtId="201" fontId="19" fillId="0" borderId="51" xfId="49" applyNumberFormat="1" applyFont="1" applyBorder="1" applyAlignment="1">
      <alignment vertical="center"/>
    </xf>
    <xf numFmtId="201" fontId="19" fillId="0" borderId="24" xfId="49" applyNumberFormat="1" applyFont="1" applyBorder="1" applyAlignment="1">
      <alignment vertical="center"/>
    </xf>
    <xf numFmtId="190" fontId="19" fillId="33" borderId="44" xfId="42" applyNumberFormat="1" applyFont="1" applyFill="1" applyBorder="1" applyAlignment="1" applyProtection="1">
      <alignment vertical="center"/>
      <protection locked="0"/>
    </xf>
    <xf numFmtId="201" fontId="19" fillId="0" borderId="81" xfId="49" applyNumberFormat="1" applyFont="1" applyFill="1" applyBorder="1" applyAlignment="1">
      <alignment vertical="center"/>
    </xf>
    <xf numFmtId="201" fontId="19" fillId="0" borderId="24" xfId="49" applyNumberFormat="1" applyFont="1" applyBorder="1" applyAlignment="1" applyProtection="1">
      <alignment vertical="center"/>
      <protection locked="0"/>
    </xf>
    <xf numFmtId="204" fontId="19" fillId="33" borderId="44" xfId="49" applyNumberFormat="1" applyFont="1" applyFill="1" applyBorder="1" applyAlignment="1" applyProtection="1">
      <alignment vertical="center"/>
      <protection locked="0"/>
    </xf>
    <xf numFmtId="201" fontId="19" fillId="0" borderId="81" xfId="49" applyNumberFormat="1" applyFont="1" applyBorder="1" applyAlignment="1">
      <alignment vertical="center"/>
    </xf>
    <xf numFmtId="204" fontId="19" fillId="33" borderId="44" xfId="49" applyNumberFormat="1" applyFont="1" applyFill="1" applyBorder="1" applyAlignment="1">
      <alignment vertical="center"/>
    </xf>
    <xf numFmtId="201" fontId="19" fillId="0" borderId="37" xfId="49" applyNumberFormat="1" applyFont="1" applyBorder="1" applyAlignment="1">
      <alignment vertical="center"/>
    </xf>
    <xf numFmtId="201" fontId="19" fillId="0" borderId="38" xfId="49" applyNumberFormat="1" applyFont="1" applyBorder="1" applyAlignment="1" applyProtection="1">
      <alignment vertical="center"/>
      <protection locked="0"/>
    </xf>
    <xf numFmtId="204" fontId="19" fillId="33" borderId="40" xfId="49" applyNumberFormat="1" applyFont="1" applyFill="1" applyBorder="1" applyAlignment="1" applyProtection="1">
      <alignment vertical="center"/>
      <protection locked="0"/>
    </xf>
    <xf numFmtId="201" fontId="19" fillId="0" borderId="64" xfId="49" applyNumberFormat="1" applyFont="1" applyBorder="1" applyAlignment="1">
      <alignment vertical="center"/>
    </xf>
    <xf numFmtId="201" fontId="19" fillId="0" borderId="38" xfId="49" applyNumberFormat="1" applyFont="1" applyBorder="1" applyAlignment="1">
      <alignment vertical="center"/>
    </xf>
    <xf numFmtId="204" fontId="19" fillId="33" borderId="40" xfId="49" applyNumberFormat="1" applyFont="1" applyFill="1" applyBorder="1" applyAlignment="1">
      <alignment vertical="center"/>
    </xf>
    <xf numFmtId="201" fontId="19" fillId="0" borderId="41" xfId="49" applyNumberFormat="1" applyFont="1" applyFill="1" applyBorder="1" applyAlignment="1">
      <alignment vertical="center"/>
    </xf>
    <xf numFmtId="204" fontId="19" fillId="33" borderId="54" xfId="49" applyNumberFormat="1" applyFont="1" applyFill="1" applyBorder="1" applyAlignment="1" applyProtection="1">
      <alignment vertical="center"/>
      <protection locked="0"/>
    </xf>
    <xf numFmtId="201" fontId="19" fillId="0" borderId="95" xfId="49" applyNumberFormat="1" applyFont="1" applyFill="1" applyBorder="1" applyAlignment="1">
      <alignment vertical="center"/>
    </xf>
    <xf numFmtId="201" fontId="19" fillId="0" borderId="34" xfId="49" applyNumberFormat="1" applyFont="1" applyBorder="1" applyAlignment="1" applyProtection="1">
      <alignment vertical="center"/>
      <protection locked="0"/>
    </xf>
    <xf numFmtId="201" fontId="19" fillId="0" borderId="34" xfId="49" applyNumberFormat="1" applyFont="1" applyBorder="1" applyAlignment="1">
      <alignment vertical="center"/>
    </xf>
    <xf numFmtId="204" fontId="19" fillId="33" borderId="54" xfId="49" applyNumberFormat="1" applyFont="1" applyFill="1" applyBorder="1" applyAlignment="1">
      <alignment vertical="center"/>
    </xf>
    <xf numFmtId="201" fontId="19" fillId="0" borderId="0" xfId="49" applyNumberFormat="1" applyFont="1" applyFill="1" applyBorder="1" applyAlignment="1">
      <alignment/>
    </xf>
    <xf numFmtId="201" fontId="19" fillId="0" borderId="0" xfId="49" applyNumberFormat="1" applyFont="1" applyFill="1" applyBorder="1" applyAlignment="1">
      <alignment vertical="center"/>
    </xf>
    <xf numFmtId="201" fontId="19" fillId="0" borderId="28" xfId="49" applyNumberFormat="1" applyFont="1" applyBorder="1" applyAlignment="1">
      <alignment vertical="center"/>
    </xf>
    <xf numFmtId="201" fontId="19" fillId="0" borderId="29" xfId="49" applyNumberFormat="1" applyFont="1" applyBorder="1" applyAlignment="1" applyProtection="1">
      <alignment vertical="center"/>
      <protection locked="0"/>
    </xf>
    <xf numFmtId="204" fontId="19" fillId="33" borderId="55" xfId="49" applyNumberFormat="1" applyFont="1" applyFill="1" applyBorder="1" applyAlignment="1" applyProtection="1">
      <alignment vertical="center"/>
      <protection locked="0"/>
    </xf>
    <xf numFmtId="201" fontId="19" fillId="0" borderId="90" xfId="49" applyNumberFormat="1" applyFont="1" applyBorder="1" applyAlignment="1">
      <alignment vertical="center"/>
    </xf>
    <xf numFmtId="201" fontId="19" fillId="0" borderId="29" xfId="49" applyNumberFormat="1" applyFont="1" applyFill="1" applyBorder="1" applyAlignment="1">
      <alignment vertical="center"/>
    </xf>
    <xf numFmtId="204" fontId="19" fillId="33" borderId="55" xfId="49" applyNumberFormat="1" applyFont="1" applyFill="1" applyBorder="1" applyAlignment="1">
      <alignment vertical="center"/>
    </xf>
    <xf numFmtId="201" fontId="19" fillId="0" borderId="23" xfId="49" applyNumberFormat="1" applyFont="1" applyFill="1" applyBorder="1" applyAlignment="1">
      <alignment vertical="center"/>
    </xf>
    <xf numFmtId="204" fontId="19" fillId="33" borderId="36" xfId="49" applyNumberFormat="1" applyFont="1" applyFill="1" applyBorder="1" applyAlignment="1" applyProtection="1">
      <alignment vertical="center"/>
      <protection locked="0"/>
    </xf>
    <xf numFmtId="201" fontId="19" fillId="0" borderId="62" xfId="49" applyNumberFormat="1" applyFont="1" applyFill="1" applyBorder="1" applyAlignment="1">
      <alignment vertical="center"/>
    </xf>
    <xf numFmtId="201" fontId="19" fillId="0" borderId="32" xfId="49" applyNumberFormat="1" applyFont="1" applyBorder="1" applyAlignment="1" applyProtection="1">
      <alignment vertical="center"/>
      <protection locked="0"/>
    </xf>
    <xf numFmtId="201" fontId="19" fillId="0" borderId="32" xfId="49" applyNumberFormat="1" applyFont="1" applyFill="1" applyBorder="1" applyAlignment="1">
      <alignment vertical="center"/>
    </xf>
    <xf numFmtId="204" fontId="19" fillId="33" borderId="36" xfId="49" applyNumberFormat="1" applyFont="1" applyFill="1" applyBorder="1" applyAlignment="1">
      <alignment vertical="center"/>
    </xf>
    <xf numFmtId="201" fontId="19" fillId="0" borderId="38" xfId="49" applyNumberFormat="1" applyFont="1" applyFill="1" applyBorder="1" applyAlignment="1">
      <alignment vertical="center"/>
    </xf>
    <xf numFmtId="201" fontId="19" fillId="0" borderId="41" xfId="49" applyNumberFormat="1" applyFont="1" applyBorder="1" applyAlignment="1">
      <alignment vertical="center"/>
    </xf>
    <xf numFmtId="201" fontId="19" fillId="0" borderId="95" xfId="49" applyNumberFormat="1" applyFont="1" applyBorder="1" applyAlignment="1">
      <alignment vertical="center"/>
    </xf>
    <xf numFmtId="201" fontId="19" fillId="0" borderId="34" xfId="49" applyNumberFormat="1" applyFont="1" applyFill="1" applyBorder="1" applyAlignment="1">
      <alignment vertical="center"/>
    </xf>
    <xf numFmtId="201" fontId="19" fillId="0" borderId="29" xfId="49" applyNumberFormat="1" applyFont="1" applyBorder="1" applyAlignment="1">
      <alignment vertical="center"/>
    </xf>
    <xf numFmtId="201" fontId="19" fillId="0" borderId="23" xfId="49" applyNumberFormat="1" applyFont="1" applyBorder="1" applyAlignment="1">
      <alignment vertical="center"/>
    </xf>
    <xf numFmtId="201" fontId="19" fillId="0" borderId="62" xfId="49" applyNumberFormat="1" applyFont="1" applyBorder="1" applyAlignment="1">
      <alignment vertical="center"/>
    </xf>
    <xf numFmtId="201" fontId="19" fillId="0" borderId="32" xfId="49" applyNumberFormat="1" applyFont="1" applyBorder="1" applyAlignment="1">
      <alignment vertical="center"/>
    </xf>
    <xf numFmtId="201" fontId="19" fillId="0" borderId="37" xfId="49" applyNumberFormat="1" applyFont="1" applyFill="1" applyBorder="1" applyAlignment="1">
      <alignment vertical="center"/>
    </xf>
    <xf numFmtId="201" fontId="19" fillId="0" borderId="64" xfId="49" applyNumberFormat="1" applyFont="1" applyFill="1" applyBorder="1" applyAlignment="1">
      <alignment vertical="center"/>
    </xf>
    <xf numFmtId="201" fontId="19" fillId="0" borderId="28" xfId="49" applyNumberFormat="1" applyFont="1" applyBorder="1" applyAlignment="1">
      <alignment horizontal="right" vertical="center"/>
    </xf>
    <xf numFmtId="201" fontId="19" fillId="0" borderId="90" xfId="49" applyNumberFormat="1" applyFont="1" applyBorder="1" applyAlignment="1">
      <alignment horizontal="right" vertical="center"/>
    </xf>
    <xf numFmtId="201" fontId="19" fillId="0" borderId="45" xfId="49" applyNumberFormat="1" applyFont="1" applyBorder="1" applyAlignment="1">
      <alignment vertical="center"/>
    </xf>
    <xf numFmtId="201" fontId="19" fillId="0" borderId="46" xfId="49" applyNumberFormat="1" applyFont="1" applyBorder="1" applyAlignment="1" applyProtection="1">
      <alignment vertical="center"/>
      <protection locked="0"/>
    </xf>
    <xf numFmtId="204" fontId="19" fillId="33" borderId="102" xfId="49" applyNumberFormat="1" applyFont="1" applyFill="1" applyBorder="1" applyAlignment="1" applyProtection="1">
      <alignment vertical="center"/>
      <protection locked="0"/>
    </xf>
    <xf numFmtId="201" fontId="19" fillId="0" borderId="46" xfId="49" applyNumberFormat="1" applyFont="1" applyBorder="1" applyAlignment="1">
      <alignment vertical="center"/>
    </xf>
    <xf numFmtId="204" fontId="19" fillId="33" borderId="102" xfId="49" applyNumberFormat="1" applyFont="1" applyFill="1" applyBorder="1" applyAlignment="1">
      <alignment vertical="center"/>
    </xf>
    <xf numFmtId="201" fontId="19" fillId="0" borderId="28" xfId="49" applyNumberFormat="1" applyFont="1" applyFill="1" applyBorder="1" applyAlignment="1">
      <alignment vertical="center"/>
    </xf>
    <xf numFmtId="201" fontId="19" fillId="0" borderId="90" xfId="49" applyNumberFormat="1" applyFont="1" applyFill="1" applyBorder="1" applyAlignment="1">
      <alignment vertical="center"/>
    </xf>
    <xf numFmtId="201" fontId="5" fillId="6" borderId="51" xfId="49" applyNumberFormat="1" applyFont="1" applyFill="1" applyBorder="1" applyAlignment="1">
      <alignment horizontal="center" vertical="center"/>
    </xf>
    <xf numFmtId="201" fontId="5" fillId="6" borderId="81" xfId="49" applyNumberFormat="1" applyFont="1" applyFill="1" applyBorder="1" applyAlignment="1">
      <alignment horizontal="center" vertical="center"/>
    </xf>
    <xf numFmtId="201" fontId="5" fillId="6" borderId="44" xfId="49" applyNumberFormat="1" applyFont="1" applyFill="1" applyBorder="1" applyAlignment="1">
      <alignment horizontal="center" vertical="center"/>
    </xf>
    <xf numFmtId="201" fontId="5" fillId="6" borderId="37" xfId="49" applyNumberFormat="1" applyFont="1" applyFill="1" applyBorder="1" applyAlignment="1">
      <alignment horizontal="center" vertical="center"/>
    </xf>
    <xf numFmtId="201" fontId="5" fillId="6" borderId="64" xfId="49" applyNumberFormat="1" applyFont="1" applyFill="1" applyBorder="1" applyAlignment="1">
      <alignment horizontal="center" vertical="center"/>
    </xf>
    <xf numFmtId="201" fontId="5" fillId="6" borderId="40" xfId="49" applyNumberFormat="1" applyFont="1" applyFill="1" applyBorder="1" applyAlignment="1">
      <alignment horizontal="center" vertical="center"/>
    </xf>
    <xf numFmtId="201" fontId="19" fillId="0" borderId="37" xfId="49" applyNumberFormat="1" applyFont="1" applyBorder="1" applyAlignment="1">
      <alignment horizontal="right" vertical="center" shrinkToFit="1"/>
    </xf>
    <xf numFmtId="201" fontId="19" fillId="0" borderId="38" xfId="49" applyNumberFormat="1" applyFont="1" applyBorder="1" applyAlignment="1">
      <alignment horizontal="right" vertical="center" shrinkToFit="1"/>
    </xf>
    <xf numFmtId="201" fontId="19" fillId="0" borderId="64" xfId="49" applyNumberFormat="1" applyFont="1" applyBorder="1" applyAlignment="1">
      <alignment horizontal="right" vertical="center" shrinkToFit="1"/>
    </xf>
    <xf numFmtId="201" fontId="5" fillId="6" borderId="10" xfId="49" applyNumberFormat="1" applyFont="1" applyFill="1" applyBorder="1" applyAlignment="1">
      <alignment horizontal="center" vertical="center"/>
    </xf>
    <xf numFmtId="201" fontId="5" fillId="6" borderId="14" xfId="49" applyNumberFormat="1" applyFont="1" applyFill="1" applyBorder="1" applyAlignment="1">
      <alignment horizontal="center" vertical="center"/>
    </xf>
    <xf numFmtId="201" fontId="5" fillId="6" borderId="13" xfId="49" applyNumberFormat="1" applyFont="1" applyFill="1" applyBorder="1" applyAlignment="1">
      <alignment horizontal="center" vertical="center"/>
    </xf>
    <xf numFmtId="201" fontId="19" fillId="0" borderId="106" xfId="49" applyNumberFormat="1" applyFont="1" applyBorder="1" applyAlignment="1">
      <alignment horizontal="right" vertical="center" shrinkToFit="1"/>
    </xf>
    <xf numFmtId="201" fontId="19" fillId="0" borderId="109" xfId="49" applyNumberFormat="1" applyFont="1" applyBorder="1" applyAlignment="1">
      <alignment horizontal="right" vertical="center" shrinkToFit="1"/>
    </xf>
    <xf numFmtId="204" fontId="19" fillId="33" borderId="13" xfId="49" applyNumberFormat="1" applyFont="1" applyFill="1" applyBorder="1" applyAlignment="1" applyProtection="1">
      <alignment vertical="center"/>
      <protection locked="0"/>
    </xf>
    <xf numFmtId="201" fontId="19" fillId="0" borderId="11" xfId="49" applyNumberFormat="1" applyFont="1" applyBorder="1" applyAlignment="1">
      <alignment horizontal="right" vertical="center" shrinkToFit="1"/>
    </xf>
    <xf numFmtId="201" fontId="19" fillId="0" borderId="107" xfId="49" applyNumberFormat="1" applyFont="1" applyBorder="1" applyAlignment="1">
      <alignment horizontal="right" vertical="center" shrinkToFit="1"/>
    </xf>
    <xf numFmtId="204" fontId="19" fillId="33" borderId="124" xfId="49" applyNumberFormat="1" applyFont="1" applyFill="1" applyBorder="1" applyAlignment="1">
      <alignment vertical="center"/>
    </xf>
    <xf numFmtId="201" fontId="20" fillId="0" borderId="0" xfId="49" applyNumberFormat="1" applyFont="1" applyBorder="1" applyAlignment="1">
      <alignment vertical="center"/>
    </xf>
    <xf numFmtId="204" fontId="19" fillId="0" borderId="0" xfId="49" applyNumberFormat="1" applyFont="1" applyBorder="1" applyAlignment="1">
      <alignment/>
    </xf>
    <xf numFmtId="201" fontId="9" fillId="0" borderId="0" xfId="49" applyNumberFormat="1" applyFont="1" applyBorder="1" applyAlignment="1">
      <alignment horizontal="left" vertical="center"/>
    </xf>
    <xf numFmtId="204" fontId="5" fillId="0" borderId="0" xfId="49" applyNumberFormat="1" applyFont="1" applyBorder="1" applyAlignment="1">
      <alignment horizontal="left" vertical="center"/>
    </xf>
    <xf numFmtId="201" fontId="4" fillId="0" borderId="0" xfId="49" applyNumberFormat="1" applyFont="1" applyBorder="1" applyAlignment="1">
      <alignment horizontal="left" vertical="center"/>
    </xf>
    <xf numFmtId="201" fontId="5" fillId="0" borderId="0" xfId="49" applyNumberFormat="1" applyFont="1" applyBorder="1" applyAlignment="1" applyProtection="1">
      <alignment vertical="center"/>
      <protection locked="0"/>
    </xf>
    <xf numFmtId="0" fontId="13" fillId="0" borderId="38" xfId="0" applyFont="1" applyBorder="1" applyAlignment="1">
      <alignment horizontal="center"/>
    </xf>
    <xf numFmtId="201" fontId="19" fillId="0" borderId="0" xfId="49" applyNumberFormat="1" applyFont="1" applyBorder="1" applyAlignment="1">
      <alignment shrinkToFit="1"/>
    </xf>
    <xf numFmtId="201" fontId="19" fillId="0" borderId="0" xfId="49" applyNumberFormat="1" applyFont="1" applyBorder="1" applyAlignment="1">
      <alignment vertical="center" shrinkToFit="1"/>
    </xf>
    <xf numFmtId="201" fontId="19" fillId="0" borderId="0" xfId="49" applyNumberFormat="1" applyFont="1" applyBorder="1" applyAlignment="1" applyProtection="1">
      <alignment horizontal="center" vertical="center" shrinkToFit="1"/>
      <protection locked="0"/>
    </xf>
    <xf numFmtId="201" fontId="19" fillId="0" borderId="0" xfId="49" applyNumberFormat="1" applyFont="1" applyBorder="1" applyAlignment="1">
      <alignment horizontal="center" vertical="center" textRotation="255" shrinkToFit="1"/>
    </xf>
    <xf numFmtId="201" fontId="5" fillId="0" borderId="0" xfId="49" applyNumberFormat="1" applyFont="1" applyBorder="1" applyAlignment="1">
      <alignment horizontal="left" vertical="center" shrinkToFit="1"/>
    </xf>
    <xf numFmtId="201" fontId="5" fillId="0" borderId="0" xfId="49" applyNumberFormat="1" applyFont="1" applyBorder="1" applyAlignment="1">
      <alignment horizontal="center" vertical="center" textRotation="255" shrinkToFit="1"/>
    </xf>
    <xf numFmtId="0" fontId="13" fillId="0" borderId="38" xfId="0" applyFont="1" applyBorder="1" applyAlignment="1">
      <alignment shrinkToFit="1"/>
    </xf>
    <xf numFmtId="201" fontId="5" fillId="0" borderId="0" xfId="49" applyNumberFormat="1" applyFont="1" applyBorder="1" applyAlignment="1">
      <alignment horizontal="right"/>
    </xf>
    <xf numFmtId="209" fontId="5" fillId="0" borderId="0" xfId="49" applyNumberFormat="1" applyFont="1" applyBorder="1" applyAlignment="1">
      <alignment horizontal="right"/>
    </xf>
    <xf numFmtId="201" fontId="19" fillId="0" borderId="0" xfId="49" applyNumberFormat="1" applyFont="1" applyBorder="1" applyAlignment="1">
      <alignment horizontal="right"/>
    </xf>
    <xf numFmtId="209" fontId="19" fillId="0" borderId="0" xfId="49" applyNumberFormat="1" applyFont="1" applyBorder="1" applyAlignment="1">
      <alignment horizontal="right"/>
    </xf>
    <xf numFmtId="201" fontId="19" fillId="0" borderId="0" xfId="49" applyNumberFormat="1" applyFont="1" applyBorder="1" applyAlignment="1">
      <alignment horizontal="right" vertical="center"/>
    </xf>
    <xf numFmtId="209" fontId="19" fillId="0" borderId="0" xfId="49" applyNumberFormat="1" applyFont="1" applyBorder="1" applyAlignment="1">
      <alignment horizontal="right" vertical="center"/>
    </xf>
    <xf numFmtId="201" fontId="19" fillId="0" borderId="0" xfId="49" applyNumberFormat="1" applyFont="1" applyBorder="1" applyAlignment="1" applyProtection="1">
      <alignment horizontal="right" vertical="center"/>
      <protection locked="0"/>
    </xf>
    <xf numFmtId="209" fontId="19" fillId="0" borderId="0" xfId="49" applyNumberFormat="1" applyFont="1" applyBorder="1" applyAlignment="1" applyProtection="1">
      <alignment horizontal="right" vertical="center"/>
      <protection locked="0"/>
    </xf>
    <xf numFmtId="201" fontId="19" fillId="0" borderId="0" xfId="49" applyNumberFormat="1" applyFont="1" applyBorder="1" applyAlignment="1">
      <alignment horizontal="right" vertical="center" textRotation="255"/>
    </xf>
    <xf numFmtId="209" fontId="19" fillId="0" borderId="0" xfId="49" applyNumberFormat="1" applyFont="1" applyBorder="1" applyAlignment="1">
      <alignment horizontal="right" vertical="center" textRotation="255"/>
    </xf>
    <xf numFmtId="201" fontId="5" fillId="0" borderId="0" xfId="49" applyNumberFormat="1" applyFont="1" applyBorder="1" applyAlignment="1">
      <alignment horizontal="right" vertical="center" textRotation="255"/>
    </xf>
    <xf numFmtId="209" fontId="5" fillId="0" borderId="0" xfId="49" applyNumberFormat="1" applyFont="1" applyBorder="1" applyAlignment="1">
      <alignment horizontal="right" vertical="center" textRotation="255"/>
    </xf>
    <xf numFmtId="0" fontId="13" fillId="0" borderId="38" xfId="0" applyFont="1" applyBorder="1" applyAlignment="1">
      <alignment horizontal="right"/>
    </xf>
    <xf numFmtId="209" fontId="5" fillId="0" borderId="0" xfId="49" applyNumberFormat="1" applyFont="1" applyBorder="1" applyAlignment="1">
      <alignment horizontal="right" vertical="center"/>
    </xf>
    <xf numFmtId="201" fontId="5" fillId="0" borderId="0" xfId="49" applyNumberFormat="1" applyFont="1" applyFill="1" applyBorder="1" applyAlignment="1">
      <alignment horizontal="right"/>
    </xf>
    <xf numFmtId="201" fontId="5" fillId="0" borderId="0" xfId="49" applyNumberFormat="1" applyFont="1" applyBorder="1" applyAlignment="1">
      <alignment horizontal="right" vertical="center"/>
    </xf>
    <xf numFmtId="201" fontId="5" fillId="0" borderId="0" xfId="49" applyNumberFormat="1" applyFont="1" applyFill="1" applyBorder="1" applyAlignment="1">
      <alignment horizontal="right" vertical="center"/>
    </xf>
    <xf numFmtId="209" fontId="5" fillId="0" borderId="0" xfId="49" applyNumberFormat="1" applyFont="1" applyFill="1" applyBorder="1" applyAlignment="1">
      <alignment horizontal="right" vertical="center"/>
    </xf>
    <xf numFmtId="209" fontId="5" fillId="0" borderId="38" xfId="49" applyNumberFormat="1" applyFont="1" applyBorder="1" applyAlignment="1">
      <alignment horizontal="center" vertical="center"/>
    </xf>
    <xf numFmtId="0" fontId="12" fillId="0" borderId="38" xfId="62" applyFont="1" applyFill="1" applyBorder="1" applyAlignment="1">
      <alignment horizontal="center" vertical="center" shrinkToFit="1"/>
      <protection/>
    </xf>
    <xf numFmtId="209" fontId="12" fillId="0" borderId="38" xfId="62" applyNumberFormat="1" applyFont="1" applyFill="1" applyBorder="1" applyAlignment="1">
      <alignment horizontal="right" vertical="center"/>
      <protection/>
    </xf>
    <xf numFmtId="201" fontId="5" fillId="0" borderId="38" xfId="49" applyNumberFormat="1" applyFont="1" applyBorder="1" applyAlignment="1">
      <alignment horizontal="center" shrinkToFit="1"/>
    </xf>
    <xf numFmtId="209" fontId="5" fillId="0" borderId="38" xfId="49" applyNumberFormat="1" applyFont="1" applyBorder="1" applyAlignment="1">
      <alignment horizontal="right" vertical="center"/>
    </xf>
    <xf numFmtId="201" fontId="5" fillId="0" borderId="38" xfId="49" applyNumberFormat="1" applyFont="1" applyFill="1" applyBorder="1" applyAlignment="1">
      <alignment horizontal="center" shrinkToFit="1"/>
    </xf>
    <xf numFmtId="209" fontId="13" fillId="0" borderId="38" xfId="0" applyNumberFormat="1" applyFont="1" applyBorder="1" applyAlignment="1">
      <alignment horizontal="right"/>
    </xf>
    <xf numFmtId="209" fontId="5" fillId="0" borderId="38" xfId="49" applyNumberFormat="1" applyFont="1" applyBorder="1" applyAlignment="1">
      <alignment horizontal="right"/>
    </xf>
    <xf numFmtId="209" fontId="5" fillId="0" borderId="38" xfId="49" applyNumberFormat="1" applyFont="1" applyFill="1" applyBorder="1" applyAlignment="1">
      <alignment horizontal="right"/>
    </xf>
    <xf numFmtId="209" fontId="5" fillId="34" borderId="0" xfId="49" applyNumberFormat="1" applyFont="1" applyFill="1" applyBorder="1" applyAlignment="1">
      <alignment horizontal="right" vertical="center"/>
    </xf>
    <xf numFmtId="201" fontId="17" fillId="0" borderId="0" xfId="49" applyNumberFormat="1" applyFont="1" applyFill="1" applyBorder="1" applyAlignment="1">
      <alignment vertical="center"/>
    </xf>
    <xf numFmtId="201" fontId="5" fillId="0" borderId="0" xfId="49" applyNumberFormat="1" applyFont="1" applyFill="1" applyBorder="1" applyAlignment="1">
      <alignment/>
    </xf>
    <xf numFmtId="201" fontId="21" fillId="0" borderId="0" xfId="49" applyNumberFormat="1" applyFont="1" applyFill="1" applyBorder="1" applyAlignment="1">
      <alignment vertical="center"/>
    </xf>
    <xf numFmtId="201" fontId="11" fillId="0" borderId="0" xfId="49" applyNumberFormat="1" applyFont="1" applyFill="1" applyBorder="1" applyAlignment="1">
      <alignment horizontal="left" vertical="center"/>
    </xf>
    <xf numFmtId="3" fontId="5" fillId="0" borderId="52" xfId="49" applyNumberFormat="1" applyFont="1" applyFill="1" applyBorder="1" applyAlignment="1" applyProtection="1">
      <alignment vertical="center" shrinkToFit="1"/>
      <protection locked="0"/>
    </xf>
    <xf numFmtId="0" fontId="5" fillId="13" borderId="69" xfId="49" applyNumberFormat="1" applyFont="1" applyFill="1" applyBorder="1" applyAlignment="1" applyProtection="1">
      <alignment vertical="center" shrinkToFit="1"/>
      <protection locked="0"/>
    </xf>
    <xf numFmtId="0" fontId="5" fillId="13" borderId="73" xfId="49" applyNumberFormat="1" applyFont="1" applyFill="1" applyBorder="1" applyAlignment="1" applyProtection="1">
      <alignment vertical="center" shrinkToFit="1"/>
      <protection locked="0"/>
    </xf>
    <xf numFmtId="0" fontId="5" fillId="0" borderId="66" xfId="49" applyNumberFormat="1" applyFont="1" applyFill="1" applyBorder="1" applyAlignment="1" applyProtection="1">
      <alignment vertical="center" shrinkToFit="1"/>
      <protection locked="0"/>
    </xf>
    <xf numFmtId="0" fontId="5" fillId="0" borderId="65" xfId="49" applyNumberFormat="1" applyFont="1" applyFill="1" applyBorder="1" applyAlignment="1" applyProtection="1">
      <alignment vertical="center" shrinkToFit="1"/>
      <protection locked="0"/>
    </xf>
    <xf numFmtId="0" fontId="5" fillId="0" borderId="69" xfId="49" applyNumberFormat="1" applyFont="1" applyFill="1" applyBorder="1" applyAlignment="1" applyProtection="1">
      <alignment vertical="center" shrinkToFit="1"/>
      <protection locked="0"/>
    </xf>
    <xf numFmtId="0" fontId="5" fillId="0" borderId="106" xfId="49" applyNumberFormat="1" applyFont="1" applyFill="1" applyBorder="1" applyAlignment="1" applyProtection="1">
      <alignment vertical="center" shrinkToFit="1"/>
      <protection locked="0"/>
    </xf>
    <xf numFmtId="201" fontId="19" fillId="0" borderId="15" xfId="49" applyNumberFormat="1" applyFont="1" applyBorder="1" applyAlignment="1">
      <alignment vertical="center"/>
    </xf>
    <xf numFmtId="201" fontId="19" fillId="0" borderId="126" xfId="49" applyNumberFormat="1" applyFont="1" applyBorder="1" applyAlignment="1">
      <alignment vertical="center"/>
    </xf>
    <xf numFmtId="201" fontId="19" fillId="0" borderId="87" xfId="49" applyNumberFormat="1" applyFont="1" applyBorder="1" applyAlignment="1">
      <alignment vertical="center"/>
    </xf>
    <xf numFmtId="201" fontId="19" fillId="0" borderId="48" xfId="49" applyNumberFormat="1" applyFont="1" applyBorder="1" applyAlignment="1">
      <alignment vertical="center"/>
    </xf>
    <xf numFmtId="201" fontId="19" fillId="0" borderId="58" xfId="49" applyNumberFormat="1" applyFont="1" applyBorder="1" applyAlignment="1">
      <alignment vertical="center"/>
    </xf>
    <xf numFmtId="201" fontId="5" fillId="0" borderId="22" xfId="49" applyNumberFormat="1" applyFont="1" applyFill="1" applyBorder="1" applyAlignment="1">
      <alignment horizontal="center" vertical="center"/>
    </xf>
    <xf numFmtId="201" fontId="5" fillId="0" borderId="72" xfId="49" applyNumberFormat="1" applyFont="1" applyFill="1" applyBorder="1" applyAlignment="1">
      <alignment horizontal="center" vertical="center"/>
    </xf>
    <xf numFmtId="201" fontId="5" fillId="0" borderId="86" xfId="49" applyNumberFormat="1" applyFont="1" applyFill="1" applyBorder="1" applyAlignment="1">
      <alignment horizontal="center" vertical="center"/>
    </xf>
    <xf numFmtId="201" fontId="12" fillId="0" borderId="123" xfId="49" applyNumberFormat="1" applyFont="1" applyFill="1" applyBorder="1" applyAlignment="1" applyProtection="1">
      <alignment horizontal="distributed" vertical="center"/>
      <protection locked="0"/>
    </xf>
    <xf numFmtId="201" fontId="12" fillId="0" borderId="127" xfId="49" applyNumberFormat="1" applyFont="1" applyFill="1" applyBorder="1" applyAlignment="1" applyProtection="1">
      <alignment horizontal="distributed" vertical="center"/>
      <protection locked="0"/>
    </xf>
    <xf numFmtId="201" fontId="12" fillId="0" borderId="26" xfId="49" applyNumberFormat="1" applyFont="1" applyFill="1" applyBorder="1" applyAlignment="1" applyProtection="1">
      <alignment horizontal="distributed" vertical="center"/>
      <protection locked="0"/>
    </xf>
    <xf numFmtId="201" fontId="12" fillId="0" borderId="44" xfId="49" applyNumberFormat="1" applyFont="1" applyFill="1" applyBorder="1" applyAlignment="1" applyProtection="1">
      <alignment horizontal="distributed" vertical="center"/>
      <protection locked="0"/>
    </xf>
    <xf numFmtId="201" fontId="12" fillId="0" borderId="111" xfId="49" applyNumberFormat="1" applyFont="1" applyFill="1" applyBorder="1" applyAlignment="1" applyProtection="1">
      <alignment horizontal="distributed" vertical="center"/>
      <protection locked="0"/>
    </xf>
    <xf numFmtId="201" fontId="12" fillId="0" borderId="40" xfId="49" applyNumberFormat="1" applyFont="1" applyFill="1" applyBorder="1" applyAlignment="1" applyProtection="1">
      <alignment horizontal="distributed" vertical="center"/>
      <protection locked="0"/>
    </xf>
    <xf numFmtId="201" fontId="12" fillId="0" borderId="113" xfId="49" applyNumberFormat="1" applyFont="1" applyFill="1" applyBorder="1" applyAlignment="1" applyProtection="1">
      <alignment horizontal="distributed" vertical="center"/>
      <protection locked="0"/>
    </xf>
    <xf numFmtId="201" fontId="12" fillId="0" borderId="43" xfId="49" applyNumberFormat="1" applyFont="1" applyFill="1" applyBorder="1" applyAlignment="1" applyProtection="1">
      <alignment horizontal="distributed" vertical="center"/>
      <protection locked="0"/>
    </xf>
    <xf numFmtId="201" fontId="12" fillId="0" borderId="112" xfId="49" applyNumberFormat="1" applyFont="1" applyFill="1" applyBorder="1" applyAlignment="1" applyProtection="1">
      <alignment horizontal="distributed" vertical="center"/>
      <protection locked="0"/>
    </xf>
    <xf numFmtId="201" fontId="12" fillId="0" borderId="54" xfId="49" applyNumberFormat="1" applyFont="1" applyFill="1" applyBorder="1" applyAlignment="1" applyProtection="1">
      <alignment horizontal="distributed" vertical="center"/>
      <protection locked="0"/>
    </xf>
    <xf numFmtId="201" fontId="12" fillId="0" borderId="77" xfId="49" applyNumberFormat="1" applyFont="1" applyFill="1" applyBorder="1" applyAlignment="1" applyProtection="1">
      <alignment horizontal="distributed" vertical="center"/>
      <protection locked="0"/>
    </xf>
    <xf numFmtId="201" fontId="12" fillId="0" borderId="55" xfId="49" applyNumberFormat="1" applyFont="1" applyFill="1" applyBorder="1" applyAlignment="1" applyProtection="1">
      <alignment horizontal="distributed" vertical="center"/>
      <protection locked="0"/>
    </xf>
    <xf numFmtId="201" fontId="12" fillId="0" borderId="128" xfId="49" applyNumberFormat="1" applyFont="1" applyFill="1" applyBorder="1" applyAlignment="1" applyProtection="1">
      <alignment horizontal="distributed" vertical="center"/>
      <protection locked="0"/>
    </xf>
    <xf numFmtId="201" fontId="12" fillId="0" borderId="61" xfId="49" applyNumberFormat="1" applyFont="1" applyFill="1" applyBorder="1" applyAlignment="1" applyProtection="1">
      <alignment horizontal="distributed" vertical="center"/>
      <protection locked="0"/>
    </xf>
    <xf numFmtId="201" fontId="12" fillId="0" borderId="16" xfId="49" applyNumberFormat="1" applyFont="1" applyFill="1" applyBorder="1" applyAlignment="1" applyProtection="1">
      <alignment horizontal="distributed" vertical="center"/>
      <protection locked="0"/>
    </xf>
    <xf numFmtId="201" fontId="12" fillId="0" borderId="18" xfId="49" applyNumberFormat="1" applyFont="1" applyFill="1" applyBorder="1" applyAlignment="1" applyProtection="1">
      <alignment horizontal="distributed" vertical="center"/>
      <protection locked="0"/>
    </xf>
    <xf numFmtId="0" fontId="5" fillId="0" borderId="51" xfId="49" applyNumberFormat="1" applyFont="1" applyFill="1" applyBorder="1" applyAlignment="1">
      <alignment horizontal="center" vertical="center"/>
    </xf>
    <xf numFmtId="0" fontId="5" fillId="0" borderId="81" xfId="49" applyNumberFormat="1" applyFont="1" applyFill="1" applyBorder="1" applyAlignment="1">
      <alignment horizontal="center" vertical="center"/>
    </xf>
    <xf numFmtId="0" fontId="5" fillId="0" borderId="18" xfId="49" applyNumberFormat="1" applyFont="1" applyFill="1" applyBorder="1" applyAlignment="1">
      <alignment horizontal="center" vertical="center"/>
    </xf>
    <xf numFmtId="201" fontId="5" fillId="0" borderId="51" xfId="49" applyNumberFormat="1" applyFont="1" applyFill="1" applyBorder="1" applyAlignment="1">
      <alignment horizontal="center" vertical="center"/>
    </xf>
    <xf numFmtId="201" fontId="5" fillId="0" borderId="37" xfId="49" applyNumberFormat="1" applyFont="1" applyFill="1" applyBorder="1" applyAlignment="1">
      <alignment horizontal="center" vertical="center"/>
    </xf>
    <xf numFmtId="201" fontId="5" fillId="0" borderId="10" xfId="49" applyNumberFormat="1" applyFont="1" applyFill="1" applyBorder="1" applyAlignment="1">
      <alignment horizontal="center" vertical="center"/>
    </xf>
    <xf numFmtId="201" fontId="5" fillId="0" borderId="41" xfId="49" applyNumberFormat="1" applyFont="1" applyFill="1" applyBorder="1" applyAlignment="1">
      <alignment horizontal="center" vertical="center"/>
    </xf>
    <xf numFmtId="201" fontId="5" fillId="0" borderId="51" xfId="49" applyNumberFormat="1" applyFont="1" applyFill="1" applyBorder="1" applyAlignment="1" applyProtection="1">
      <alignment horizontal="center" vertical="center" wrapText="1"/>
      <protection locked="0"/>
    </xf>
    <xf numFmtId="201" fontId="5" fillId="0" borderId="37" xfId="49" applyNumberFormat="1" applyFont="1" applyFill="1" applyBorder="1" applyAlignment="1" applyProtection="1">
      <alignment horizontal="center" vertical="center"/>
      <protection locked="0"/>
    </xf>
    <xf numFmtId="201" fontId="5" fillId="0" borderId="10" xfId="49" applyNumberFormat="1" applyFont="1" applyFill="1" applyBorder="1" applyAlignment="1" applyProtection="1">
      <alignment horizontal="center" vertical="center"/>
      <protection locked="0"/>
    </xf>
    <xf numFmtId="0" fontId="12" fillId="0" borderId="45" xfId="49" applyNumberFormat="1" applyFont="1" applyFill="1" applyBorder="1" applyAlignment="1">
      <alignment horizontal="center" vertical="center" textRotation="255"/>
    </xf>
    <xf numFmtId="0" fontId="12" fillId="0" borderId="129" xfId="49" applyNumberFormat="1" applyFont="1" applyFill="1" applyBorder="1" applyAlignment="1">
      <alignment horizontal="center" vertical="center" textRotation="255"/>
    </xf>
    <xf numFmtId="201" fontId="5" fillId="0" borderId="51" xfId="49" applyNumberFormat="1" applyFont="1" applyFill="1" applyBorder="1" applyAlignment="1" applyProtection="1">
      <alignment horizontal="center" vertical="center"/>
      <protection locked="0"/>
    </xf>
    <xf numFmtId="0" fontId="5" fillId="0" borderId="116" xfId="49" applyNumberFormat="1" applyFont="1" applyFill="1" applyBorder="1" applyAlignment="1">
      <alignment horizontal="center" vertical="center"/>
    </xf>
    <xf numFmtId="0" fontId="5" fillId="0" borderId="98" xfId="49" applyNumberFormat="1" applyFont="1" applyFill="1" applyBorder="1" applyAlignment="1">
      <alignment horizontal="center" vertical="center"/>
    </xf>
    <xf numFmtId="0" fontId="5" fillId="0" borderId="127" xfId="49" applyNumberFormat="1" applyFont="1" applyFill="1" applyBorder="1" applyAlignment="1">
      <alignment horizontal="center" vertical="center"/>
    </xf>
    <xf numFmtId="0" fontId="5" fillId="0" borderId="75" xfId="49" applyNumberFormat="1" applyFont="1" applyFill="1" applyBorder="1" applyAlignment="1" applyProtection="1">
      <alignment horizontal="center" vertical="center"/>
      <protection locked="0"/>
    </xf>
    <xf numFmtId="0" fontId="5" fillId="0" borderId="130" xfId="49" applyNumberFormat="1" applyFont="1" applyFill="1" applyBorder="1" applyAlignment="1" applyProtection="1">
      <alignment horizontal="center" vertical="center"/>
      <protection locked="0"/>
    </xf>
    <xf numFmtId="201" fontId="5" fillId="0" borderId="19" xfId="49" applyNumberFormat="1" applyFont="1" applyFill="1" applyBorder="1" applyAlignment="1">
      <alignment horizontal="center" vertical="center"/>
    </xf>
    <xf numFmtId="201" fontId="5" fillId="0" borderId="45" xfId="49" applyNumberFormat="1" applyFont="1" applyFill="1" applyBorder="1" applyAlignment="1">
      <alignment horizontal="center" vertical="center"/>
    </xf>
    <xf numFmtId="201" fontId="5" fillId="0" borderId="122" xfId="49" applyNumberFormat="1" applyFont="1" applyFill="1" applyBorder="1" applyAlignment="1">
      <alignment horizontal="center" vertical="center"/>
    </xf>
    <xf numFmtId="0" fontId="5" fillId="0" borderId="46" xfId="49" applyNumberFormat="1" applyFont="1" applyFill="1" applyBorder="1" applyAlignment="1">
      <alignment horizontal="center" vertical="center" textRotation="255"/>
    </xf>
    <xf numFmtId="0" fontId="5" fillId="0" borderId="87" xfId="49" applyNumberFormat="1" applyFont="1" applyFill="1" applyBorder="1" applyAlignment="1">
      <alignment horizontal="center" vertical="center" textRotation="255"/>
    </xf>
    <xf numFmtId="0" fontId="5" fillId="0" borderId="75" xfId="49" applyNumberFormat="1" applyFont="1" applyFill="1" applyBorder="1" applyAlignment="1">
      <alignment horizontal="center" vertical="center" textRotation="255"/>
    </xf>
    <xf numFmtId="0" fontId="5" fillId="0" borderId="130" xfId="49" applyNumberFormat="1" applyFont="1" applyFill="1" applyBorder="1" applyAlignment="1">
      <alignment horizontal="center" vertical="center" textRotation="255"/>
    </xf>
    <xf numFmtId="0" fontId="5" fillId="0" borderId="85" xfId="49" applyNumberFormat="1" applyFont="1" applyFill="1" applyBorder="1" applyAlignment="1">
      <alignment horizontal="center" vertical="center" textRotation="255"/>
    </xf>
    <xf numFmtId="201" fontId="5" fillId="0" borderId="16" xfId="49" applyNumberFormat="1" applyFont="1" applyFill="1" applyBorder="1" applyAlignment="1">
      <alignment horizontal="center" vertical="center"/>
    </xf>
    <xf numFmtId="201" fontId="5" fillId="0" borderId="18" xfId="49" applyNumberFormat="1" applyFont="1" applyFill="1" applyBorder="1" applyAlignment="1">
      <alignment horizontal="center" vertical="center"/>
    </xf>
    <xf numFmtId="201" fontId="5" fillId="0" borderId="129" xfId="49" applyNumberFormat="1" applyFont="1" applyFill="1" applyBorder="1" applyAlignment="1">
      <alignment horizontal="center" vertical="center"/>
    </xf>
    <xf numFmtId="201" fontId="5" fillId="0" borderId="102" xfId="49" applyNumberFormat="1" applyFont="1" applyFill="1" applyBorder="1" applyAlignment="1">
      <alignment horizontal="center" vertical="center"/>
    </xf>
    <xf numFmtId="201" fontId="5" fillId="0" borderId="123" xfId="49" applyNumberFormat="1" applyFont="1" applyFill="1" applyBorder="1" applyAlignment="1">
      <alignment horizontal="center" vertical="center"/>
    </xf>
    <xf numFmtId="201" fontId="5" fillId="0" borderId="127" xfId="49" applyNumberFormat="1" applyFont="1" applyFill="1" applyBorder="1" applyAlignment="1">
      <alignment horizontal="center" vertical="center"/>
    </xf>
    <xf numFmtId="0" fontId="5" fillId="0" borderId="131" xfId="49" applyNumberFormat="1" applyFont="1" applyFill="1" applyBorder="1" applyAlignment="1">
      <alignment horizontal="center" vertical="center"/>
    </xf>
    <xf numFmtId="0" fontId="5" fillId="0" borderId="132" xfId="49" applyNumberFormat="1" applyFont="1" applyFill="1" applyBorder="1" applyAlignment="1">
      <alignment horizontal="center" vertical="center"/>
    </xf>
    <xf numFmtId="0" fontId="5" fillId="0" borderId="133" xfId="49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 applyProtection="1">
      <alignment horizontal="center" vertical="center" textRotation="255"/>
      <protection locked="0"/>
    </xf>
    <xf numFmtId="0" fontId="5" fillId="0" borderId="85" xfId="49" applyNumberFormat="1" applyFont="1" applyFill="1" applyBorder="1" applyAlignment="1" applyProtection="1">
      <alignment horizontal="center" vertical="center"/>
      <protection locked="0"/>
    </xf>
    <xf numFmtId="0" fontId="5" fillId="0" borderId="98" xfId="49" applyNumberFormat="1" applyFont="1" applyFill="1" applyBorder="1" applyAlignment="1" applyProtection="1">
      <alignment horizontal="center" vertical="center" textRotation="255"/>
      <protection locked="0"/>
    </xf>
    <xf numFmtId="201" fontId="12" fillId="0" borderId="111" xfId="0" applyNumberFormat="1" applyFont="1" applyFill="1" applyBorder="1" applyAlignment="1" applyProtection="1">
      <alignment horizontal="distributed" vertical="center"/>
      <protection locked="0"/>
    </xf>
    <xf numFmtId="201" fontId="12" fillId="0" borderId="40" xfId="0" applyNumberFormat="1" applyFont="1" applyFill="1" applyBorder="1" applyAlignment="1" applyProtection="1">
      <alignment horizontal="distributed" vertical="center"/>
      <protection locked="0"/>
    </xf>
    <xf numFmtId="201" fontId="12" fillId="0" borderId="112" xfId="0" applyNumberFormat="1" applyFont="1" applyFill="1" applyBorder="1" applyAlignment="1" applyProtection="1">
      <alignment horizontal="distributed" vertical="center"/>
      <protection locked="0"/>
    </xf>
    <xf numFmtId="201" fontId="12" fillId="0" borderId="54" xfId="0" applyNumberFormat="1" applyFont="1" applyFill="1" applyBorder="1" applyAlignment="1" applyProtection="1">
      <alignment horizontal="distributed" vertical="center"/>
      <protection locked="0"/>
    </xf>
    <xf numFmtId="201" fontId="12" fillId="0" borderId="110" xfId="49" applyNumberFormat="1" applyFont="1" applyFill="1" applyBorder="1" applyAlignment="1" applyProtection="1">
      <alignment horizontal="distributed" vertical="center"/>
      <protection locked="0"/>
    </xf>
    <xf numFmtId="201" fontId="12" fillId="0" borderId="36" xfId="49" applyNumberFormat="1" applyFont="1" applyFill="1" applyBorder="1" applyAlignment="1" applyProtection="1">
      <alignment horizontal="distributed" vertical="center"/>
      <protection locked="0"/>
    </xf>
    <xf numFmtId="201" fontId="19" fillId="0" borderId="0" xfId="49" applyNumberFormat="1" applyFont="1" applyBorder="1" applyAlignment="1">
      <alignment horizontal="left" vertical="center" wrapText="1"/>
    </xf>
    <xf numFmtId="201" fontId="19" fillId="0" borderId="0" xfId="49" applyNumberFormat="1" applyFont="1" applyBorder="1" applyAlignment="1">
      <alignment horizontal="left" vertical="center"/>
    </xf>
    <xf numFmtId="201" fontId="5" fillId="6" borderId="51" xfId="49" applyNumberFormat="1" applyFont="1" applyFill="1" applyBorder="1" applyAlignment="1" applyProtection="1">
      <alignment horizontal="center" vertical="center"/>
      <protection locked="0"/>
    </xf>
    <xf numFmtId="201" fontId="5" fillId="6" borderId="37" xfId="49" applyNumberFormat="1" applyFont="1" applyFill="1" applyBorder="1" applyAlignment="1" applyProtection="1">
      <alignment horizontal="center" vertical="center"/>
      <protection locked="0"/>
    </xf>
    <xf numFmtId="201" fontId="5" fillId="6" borderId="10" xfId="49" applyNumberFormat="1" applyFont="1" applyFill="1" applyBorder="1" applyAlignment="1" applyProtection="1">
      <alignment horizontal="center" vertical="center"/>
      <protection locked="0"/>
    </xf>
    <xf numFmtId="201" fontId="12" fillId="6" borderId="26" xfId="49" applyNumberFormat="1" applyFont="1" applyFill="1" applyBorder="1" applyAlignment="1" applyProtection="1">
      <alignment horizontal="distributed" vertical="center"/>
      <protection locked="0"/>
    </xf>
    <xf numFmtId="201" fontId="12" fillId="6" borderId="44" xfId="49" applyNumberFormat="1" applyFont="1" applyFill="1" applyBorder="1" applyAlignment="1" applyProtection="1">
      <alignment horizontal="distributed" vertical="center"/>
      <protection locked="0"/>
    </xf>
    <xf numFmtId="201" fontId="12" fillId="6" borderId="111" xfId="49" applyNumberFormat="1" applyFont="1" applyFill="1" applyBorder="1" applyAlignment="1" applyProtection="1">
      <alignment horizontal="distributed" vertical="center"/>
      <protection locked="0"/>
    </xf>
    <xf numFmtId="201" fontId="12" fillId="6" borderId="40" xfId="49" applyNumberFormat="1" applyFont="1" applyFill="1" applyBorder="1" applyAlignment="1" applyProtection="1">
      <alignment horizontal="distributed" vertical="center"/>
      <protection locked="0"/>
    </xf>
    <xf numFmtId="201" fontId="12" fillId="6" borderId="113" xfId="49" applyNumberFormat="1" applyFont="1" applyFill="1" applyBorder="1" applyAlignment="1" applyProtection="1">
      <alignment horizontal="distributed" vertical="center"/>
      <protection locked="0"/>
    </xf>
    <xf numFmtId="201" fontId="12" fillId="6" borderId="43" xfId="49" applyNumberFormat="1" applyFont="1" applyFill="1" applyBorder="1" applyAlignment="1" applyProtection="1">
      <alignment horizontal="distributed" vertical="center"/>
      <protection locked="0"/>
    </xf>
    <xf numFmtId="201" fontId="12" fillId="6" borderId="123" xfId="49" applyNumberFormat="1" applyFont="1" applyFill="1" applyBorder="1" applyAlignment="1" applyProtection="1">
      <alignment horizontal="distributed" vertical="center"/>
      <protection locked="0"/>
    </xf>
    <xf numFmtId="201" fontId="12" fillId="6" borderId="127" xfId="49" applyNumberFormat="1" applyFont="1" applyFill="1" applyBorder="1" applyAlignment="1" applyProtection="1">
      <alignment horizontal="distributed" vertical="center"/>
      <protection locked="0"/>
    </xf>
    <xf numFmtId="201" fontId="5" fillId="6" borderId="51" xfId="49" applyNumberFormat="1" applyFont="1" applyFill="1" applyBorder="1" applyAlignment="1">
      <alignment horizontal="center" vertical="center"/>
    </xf>
    <xf numFmtId="201" fontId="5" fillId="6" borderId="10" xfId="49" applyNumberFormat="1" applyFont="1" applyFill="1" applyBorder="1" applyAlignment="1">
      <alignment horizontal="center" vertical="center"/>
    </xf>
    <xf numFmtId="201" fontId="12" fillId="6" borderId="128" xfId="49" applyNumberFormat="1" applyFont="1" applyFill="1" applyBorder="1" applyAlignment="1" applyProtection="1">
      <alignment horizontal="distributed" vertical="center"/>
      <protection locked="0"/>
    </xf>
    <xf numFmtId="201" fontId="12" fillId="6" borderId="61" xfId="49" applyNumberFormat="1" applyFont="1" applyFill="1" applyBorder="1" applyAlignment="1" applyProtection="1">
      <alignment horizontal="distributed" vertical="center"/>
      <protection locked="0"/>
    </xf>
    <xf numFmtId="201" fontId="5" fillId="6" borderId="37" xfId="49" applyNumberFormat="1" applyFont="1" applyFill="1" applyBorder="1" applyAlignment="1">
      <alignment horizontal="center" vertical="center"/>
    </xf>
    <xf numFmtId="201" fontId="5" fillId="6" borderId="51" xfId="49" applyNumberFormat="1" applyFont="1" applyFill="1" applyBorder="1" applyAlignment="1" applyProtection="1">
      <alignment horizontal="center" vertical="center" wrapText="1"/>
      <protection locked="0"/>
    </xf>
    <xf numFmtId="201" fontId="12" fillId="6" borderId="112" xfId="49" applyNumberFormat="1" applyFont="1" applyFill="1" applyBorder="1" applyAlignment="1" applyProtection="1">
      <alignment horizontal="distributed" vertical="center"/>
      <protection locked="0"/>
    </xf>
    <xf numFmtId="201" fontId="12" fillId="6" borderId="54" xfId="49" applyNumberFormat="1" applyFont="1" applyFill="1" applyBorder="1" applyAlignment="1" applyProtection="1">
      <alignment horizontal="distributed" vertical="center"/>
      <protection locked="0"/>
    </xf>
    <xf numFmtId="201" fontId="12" fillId="6" borderId="77" xfId="49" applyNumberFormat="1" applyFont="1" applyFill="1" applyBorder="1" applyAlignment="1" applyProtection="1">
      <alignment horizontal="distributed" vertical="center"/>
      <protection locked="0"/>
    </xf>
    <xf numFmtId="201" fontId="12" fillId="6" borderId="55" xfId="49" applyNumberFormat="1" applyFont="1" applyFill="1" applyBorder="1" applyAlignment="1" applyProtection="1">
      <alignment horizontal="distributed" vertical="center"/>
      <protection locked="0"/>
    </xf>
    <xf numFmtId="201" fontId="5" fillId="6" borderId="41" xfId="49" applyNumberFormat="1" applyFont="1" applyFill="1" applyBorder="1" applyAlignment="1">
      <alignment horizontal="center" vertical="center"/>
    </xf>
    <xf numFmtId="201" fontId="5" fillId="6" borderId="22" xfId="49" applyNumberFormat="1" applyFont="1" applyFill="1" applyBorder="1" applyAlignment="1">
      <alignment horizontal="center" vertical="center"/>
    </xf>
    <xf numFmtId="201" fontId="5" fillId="6" borderId="72" xfId="49" applyNumberFormat="1" applyFont="1" applyFill="1" applyBorder="1" applyAlignment="1">
      <alignment horizontal="center" vertical="center"/>
    </xf>
    <xf numFmtId="201" fontId="5" fillId="6" borderId="86" xfId="49" applyNumberFormat="1" applyFont="1" applyFill="1" applyBorder="1" applyAlignment="1">
      <alignment horizontal="center" vertical="center"/>
    </xf>
    <xf numFmtId="201" fontId="12" fillId="6" borderId="110" xfId="49" applyNumberFormat="1" applyFont="1" applyFill="1" applyBorder="1" applyAlignment="1" applyProtection="1">
      <alignment horizontal="distributed" vertical="center"/>
      <protection locked="0"/>
    </xf>
    <xf numFmtId="201" fontId="12" fillId="6" borderId="36" xfId="49" applyNumberFormat="1" applyFont="1" applyFill="1" applyBorder="1" applyAlignment="1" applyProtection="1">
      <alignment horizontal="distributed" vertical="center"/>
      <protection locked="0"/>
    </xf>
    <xf numFmtId="201" fontId="12" fillId="6" borderId="16" xfId="49" applyNumberFormat="1" applyFont="1" applyFill="1" applyBorder="1" applyAlignment="1" applyProtection="1">
      <alignment horizontal="distributed" vertical="center"/>
      <protection locked="0"/>
    </xf>
    <xf numFmtId="201" fontId="12" fillId="6" borderId="18" xfId="49" applyNumberFormat="1" applyFont="1" applyFill="1" applyBorder="1" applyAlignment="1" applyProtection="1">
      <alignment horizontal="distributed" vertical="center"/>
      <protection locked="0"/>
    </xf>
    <xf numFmtId="201" fontId="19" fillId="35" borderId="70" xfId="49" applyNumberFormat="1" applyFont="1" applyFill="1" applyBorder="1" applyAlignment="1">
      <alignment horizontal="center" vertical="top" textRotation="255" wrapText="1"/>
    </xf>
    <xf numFmtId="0" fontId="0" fillId="0" borderId="72" xfId="0" applyFont="1" applyBorder="1" applyAlignment="1">
      <alignment/>
    </xf>
    <xf numFmtId="0" fontId="0" fillId="0" borderId="86" xfId="0" applyFont="1" applyBorder="1" applyAlignment="1">
      <alignment/>
    </xf>
    <xf numFmtId="201" fontId="19" fillId="35" borderId="34" xfId="49" applyNumberFormat="1" applyFont="1" applyFill="1" applyBorder="1" applyAlignment="1">
      <alignment horizontal="center" vertical="top" textRotation="255" wrapText="1"/>
    </xf>
    <xf numFmtId="0" fontId="0" fillId="0" borderId="46" xfId="0" applyFont="1" applyBorder="1" applyAlignment="1">
      <alignment/>
    </xf>
    <xf numFmtId="0" fontId="0" fillId="0" borderId="87" xfId="0" applyFont="1" applyBorder="1" applyAlignment="1">
      <alignment/>
    </xf>
    <xf numFmtId="204" fontId="19" fillId="35" borderId="117" xfId="49" applyNumberFormat="1" applyFont="1" applyFill="1" applyBorder="1" applyAlignment="1">
      <alignment horizontal="center" vertical="top" textRotation="255" wrapText="1"/>
    </xf>
    <xf numFmtId="0" fontId="0" fillId="0" borderId="134" xfId="0" applyFont="1" applyBorder="1" applyAlignment="1">
      <alignment/>
    </xf>
    <xf numFmtId="0" fontId="0" fillId="0" borderId="88" xfId="0" applyFont="1" applyBorder="1" applyAlignment="1">
      <alignment/>
    </xf>
    <xf numFmtId="201" fontId="12" fillId="6" borderId="111" xfId="0" applyNumberFormat="1" applyFont="1" applyFill="1" applyBorder="1" applyAlignment="1" applyProtection="1">
      <alignment horizontal="distributed" vertical="center"/>
      <protection locked="0"/>
    </xf>
    <xf numFmtId="201" fontId="12" fillId="6" borderId="40" xfId="0" applyNumberFormat="1" applyFont="1" applyFill="1" applyBorder="1" applyAlignment="1" applyProtection="1">
      <alignment horizontal="distributed" vertical="center"/>
      <protection locked="0"/>
    </xf>
    <xf numFmtId="201" fontId="12" fillId="6" borderId="112" xfId="0" applyNumberFormat="1" applyFont="1" applyFill="1" applyBorder="1" applyAlignment="1" applyProtection="1">
      <alignment horizontal="distributed" vertical="center"/>
      <protection locked="0"/>
    </xf>
    <xf numFmtId="201" fontId="12" fillId="6" borderId="54" xfId="0" applyNumberFormat="1" applyFont="1" applyFill="1" applyBorder="1" applyAlignment="1" applyProtection="1">
      <alignment horizontal="distributed" vertical="center"/>
      <protection locked="0"/>
    </xf>
    <xf numFmtId="201" fontId="19" fillId="6" borderId="19" xfId="49" applyNumberFormat="1" applyFont="1" applyFill="1" applyBorder="1" applyAlignment="1">
      <alignment horizontal="center" vertical="center"/>
    </xf>
    <xf numFmtId="201" fontId="19" fillId="6" borderId="45" xfId="49" applyNumberFormat="1" applyFont="1" applyFill="1" applyBorder="1" applyAlignment="1">
      <alignment horizontal="center" vertical="center"/>
    </xf>
    <xf numFmtId="201" fontId="19" fillId="6" borderId="18" xfId="49" applyNumberFormat="1" applyFont="1" applyFill="1" applyBorder="1" applyAlignment="1">
      <alignment horizontal="center" vertical="center"/>
    </xf>
    <xf numFmtId="201" fontId="19" fillId="6" borderId="102" xfId="49" applyNumberFormat="1" applyFont="1" applyFill="1" applyBorder="1" applyAlignment="1">
      <alignment horizontal="center" vertical="center"/>
    </xf>
    <xf numFmtId="201" fontId="19" fillId="6" borderId="122" xfId="49" applyNumberFormat="1" applyFont="1" applyFill="1" applyBorder="1" applyAlignment="1">
      <alignment horizontal="center" vertical="center"/>
    </xf>
    <xf numFmtId="201" fontId="19" fillId="6" borderId="127" xfId="49" applyNumberFormat="1" applyFont="1" applyFill="1" applyBorder="1" applyAlignment="1">
      <alignment horizontal="center" vertical="center"/>
    </xf>
    <xf numFmtId="201" fontId="19" fillId="35" borderId="51" xfId="49" applyNumberFormat="1" applyFont="1" applyFill="1" applyBorder="1" applyAlignment="1">
      <alignment horizontal="center" vertical="center"/>
    </xf>
    <xf numFmtId="201" fontId="19" fillId="35" borderId="81" xfId="49" applyNumberFormat="1" applyFont="1" applyFill="1" applyBorder="1" applyAlignment="1">
      <alignment horizontal="center" vertical="center"/>
    </xf>
    <xf numFmtId="201" fontId="19" fillId="35" borderId="44" xfId="49" applyNumberFormat="1" applyFont="1" applyFill="1" applyBorder="1" applyAlignment="1">
      <alignment horizontal="center" vertical="center"/>
    </xf>
    <xf numFmtId="0" fontId="0" fillId="0" borderId="81" xfId="0" applyFont="1" applyBorder="1" applyAlignment="1">
      <alignment/>
    </xf>
    <xf numFmtId="0" fontId="0" fillId="0" borderId="44" xfId="0" applyFont="1" applyBorder="1" applyAlignment="1">
      <alignment/>
    </xf>
    <xf numFmtId="201" fontId="13" fillId="0" borderId="113" xfId="49" applyNumberFormat="1" applyFont="1" applyFill="1" applyBorder="1" applyAlignment="1" applyProtection="1">
      <alignment horizontal="distributed" vertical="center"/>
      <protection locked="0"/>
    </xf>
    <xf numFmtId="201" fontId="13" fillId="0" borderId="43" xfId="49" applyNumberFormat="1" applyFont="1" applyFill="1" applyBorder="1" applyAlignment="1" applyProtection="1">
      <alignment horizontal="distributed" vertical="center"/>
      <protection locked="0"/>
    </xf>
    <xf numFmtId="201" fontId="13" fillId="0" borderId="123" xfId="49" applyNumberFormat="1" applyFont="1" applyFill="1" applyBorder="1" applyAlignment="1" applyProtection="1">
      <alignment horizontal="distributed" vertical="center"/>
      <protection locked="0"/>
    </xf>
    <xf numFmtId="201" fontId="13" fillId="0" borderId="127" xfId="49" applyNumberFormat="1" applyFont="1" applyFill="1" applyBorder="1" applyAlignment="1" applyProtection="1">
      <alignment horizontal="distributed" vertical="center"/>
      <protection locked="0"/>
    </xf>
    <xf numFmtId="201" fontId="13" fillId="0" borderId="26" xfId="49" applyNumberFormat="1" applyFont="1" applyFill="1" applyBorder="1" applyAlignment="1" applyProtection="1">
      <alignment horizontal="distributed" vertical="center"/>
      <protection locked="0"/>
    </xf>
    <xf numFmtId="201" fontId="13" fillId="0" borderId="44" xfId="49" applyNumberFormat="1" applyFont="1" applyFill="1" applyBorder="1" applyAlignment="1" applyProtection="1">
      <alignment horizontal="distributed" vertical="center"/>
      <protection locked="0"/>
    </xf>
    <xf numFmtId="201" fontId="13" fillId="0" borderId="111" xfId="49" applyNumberFormat="1" applyFont="1" applyFill="1" applyBorder="1" applyAlignment="1" applyProtection="1">
      <alignment horizontal="distributed" vertical="center"/>
      <protection locked="0"/>
    </xf>
    <xf numFmtId="201" fontId="13" fillId="0" borderId="40" xfId="49" applyNumberFormat="1" applyFont="1" applyFill="1" applyBorder="1" applyAlignment="1" applyProtection="1">
      <alignment horizontal="distributed" vertical="center"/>
      <protection locked="0"/>
    </xf>
    <xf numFmtId="201" fontId="13" fillId="0" borderId="112" xfId="49" applyNumberFormat="1" applyFont="1" applyFill="1" applyBorder="1" applyAlignment="1" applyProtection="1">
      <alignment horizontal="distributed" vertical="center"/>
      <protection locked="0"/>
    </xf>
    <xf numFmtId="201" fontId="13" fillId="0" borderId="54" xfId="49" applyNumberFormat="1" applyFont="1" applyFill="1" applyBorder="1" applyAlignment="1" applyProtection="1">
      <alignment horizontal="distributed" vertical="center"/>
      <protection locked="0"/>
    </xf>
    <xf numFmtId="201" fontId="13" fillId="0" borderId="77" xfId="49" applyNumberFormat="1" applyFont="1" applyFill="1" applyBorder="1" applyAlignment="1" applyProtection="1">
      <alignment horizontal="distributed" vertical="center"/>
      <protection locked="0"/>
    </xf>
    <xf numFmtId="201" fontId="13" fillId="0" borderId="55" xfId="49" applyNumberFormat="1" applyFont="1" applyFill="1" applyBorder="1" applyAlignment="1" applyProtection="1">
      <alignment horizontal="distributed" vertical="center"/>
      <protection locked="0"/>
    </xf>
    <xf numFmtId="201" fontId="13" fillId="0" borderId="16" xfId="49" applyNumberFormat="1" applyFont="1" applyFill="1" applyBorder="1" applyAlignment="1" applyProtection="1">
      <alignment horizontal="distributed" vertical="center"/>
      <protection locked="0"/>
    </xf>
    <xf numFmtId="201" fontId="13" fillId="0" borderId="18" xfId="49" applyNumberFormat="1" applyFont="1" applyFill="1" applyBorder="1" applyAlignment="1" applyProtection="1">
      <alignment horizontal="distributed" vertical="center"/>
      <protection locked="0"/>
    </xf>
    <xf numFmtId="201" fontId="13" fillId="0" borderId="128" xfId="49" applyNumberFormat="1" applyFont="1" applyFill="1" applyBorder="1" applyAlignment="1" applyProtection="1">
      <alignment horizontal="distributed" vertical="center"/>
      <protection locked="0"/>
    </xf>
    <xf numFmtId="201" fontId="13" fillId="0" borderId="61" xfId="49" applyNumberFormat="1" applyFont="1" applyFill="1" applyBorder="1" applyAlignment="1" applyProtection="1">
      <alignment horizontal="distributed" vertical="center"/>
      <protection locked="0"/>
    </xf>
    <xf numFmtId="201" fontId="13" fillId="0" borderId="110" xfId="49" applyNumberFormat="1" applyFont="1" applyFill="1" applyBorder="1" applyAlignment="1" applyProtection="1">
      <alignment horizontal="distributed" vertical="center"/>
      <protection locked="0"/>
    </xf>
    <xf numFmtId="201" fontId="13" fillId="0" borderId="36" xfId="49" applyNumberFormat="1" applyFont="1" applyFill="1" applyBorder="1" applyAlignment="1" applyProtection="1">
      <alignment horizontal="distributed" vertical="center"/>
      <protection locked="0"/>
    </xf>
    <xf numFmtId="201" fontId="13" fillId="0" borderId="111" xfId="0" applyNumberFormat="1" applyFont="1" applyFill="1" applyBorder="1" applyAlignment="1" applyProtection="1">
      <alignment horizontal="distributed" vertical="center"/>
      <protection locked="0"/>
    </xf>
    <xf numFmtId="201" fontId="13" fillId="0" borderId="40" xfId="0" applyNumberFormat="1" applyFont="1" applyFill="1" applyBorder="1" applyAlignment="1" applyProtection="1">
      <alignment horizontal="distributed" vertical="center"/>
      <protection locked="0"/>
    </xf>
    <xf numFmtId="201" fontId="13" fillId="0" borderId="112" xfId="0" applyNumberFormat="1" applyFont="1" applyFill="1" applyBorder="1" applyAlignment="1" applyProtection="1">
      <alignment horizontal="distributed" vertical="center"/>
      <protection locked="0"/>
    </xf>
    <xf numFmtId="201" fontId="13" fillId="0" borderId="54" xfId="0" applyNumberFormat="1" applyFont="1" applyFill="1" applyBorder="1" applyAlignment="1" applyProtection="1">
      <alignment horizontal="distributed" vertical="center"/>
      <protection locked="0"/>
    </xf>
    <xf numFmtId="201" fontId="11" fillId="0" borderId="16" xfId="49" applyNumberFormat="1" applyFont="1" applyFill="1" applyBorder="1" applyAlignment="1">
      <alignment horizontal="center" vertical="center"/>
    </xf>
    <xf numFmtId="201" fontId="11" fillId="0" borderId="18" xfId="49" applyNumberFormat="1" applyFont="1" applyFill="1" applyBorder="1" applyAlignment="1">
      <alignment horizontal="center" vertical="center"/>
    </xf>
    <xf numFmtId="201" fontId="11" fillId="0" borderId="129" xfId="49" applyNumberFormat="1" applyFont="1" applyFill="1" applyBorder="1" applyAlignment="1">
      <alignment horizontal="center" vertical="center"/>
    </xf>
    <xf numFmtId="201" fontId="11" fillId="0" borderId="102" xfId="49" applyNumberFormat="1" applyFont="1" applyFill="1" applyBorder="1" applyAlignment="1">
      <alignment horizontal="center" vertical="center"/>
    </xf>
    <xf numFmtId="201" fontId="11" fillId="0" borderId="123" xfId="49" applyNumberFormat="1" applyFont="1" applyFill="1" applyBorder="1" applyAlignment="1">
      <alignment horizontal="center" vertical="center"/>
    </xf>
    <xf numFmtId="201" fontId="11" fillId="0" borderId="127" xfId="49" applyNumberFormat="1" applyFont="1" applyFill="1" applyBorder="1" applyAlignment="1">
      <alignment horizontal="center" vertical="center"/>
    </xf>
    <xf numFmtId="201" fontId="8" fillId="0" borderId="16" xfId="49" applyNumberFormat="1" applyFont="1" applyFill="1" applyBorder="1" applyAlignment="1">
      <alignment horizontal="center" vertical="top" textRotation="255" wrapText="1" shrinkToFit="1"/>
    </xf>
    <xf numFmtId="201" fontId="8" fillId="0" borderId="129" xfId="49" applyNumberFormat="1" applyFont="1" applyFill="1" applyBorder="1" applyAlignment="1">
      <alignment horizontal="center" vertical="top" textRotation="255" wrapText="1" shrinkToFit="1"/>
    </xf>
    <xf numFmtId="201" fontId="8" fillId="0" borderId="123" xfId="49" applyNumberFormat="1" applyFont="1" applyFill="1" applyBorder="1" applyAlignment="1">
      <alignment horizontal="center" vertical="top" textRotation="255" wrapText="1" shrinkToFit="1"/>
    </xf>
    <xf numFmtId="201" fontId="5" fillId="0" borderId="131" xfId="49" applyNumberFormat="1" applyFont="1" applyFill="1" applyBorder="1" applyAlignment="1">
      <alignment horizontal="center" vertical="center"/>
    </xf>
    <xf numFmtId="201" fontId="5" fillId="0" borderId="132" xfId="49" applyNumberFormat="1" applyFont="1" applyFill="1" applyBorder="1" applyAlignment="1">
      <alignment horizontal="center" vertical="center"/>
    </xf>
    <xf numFmtId="201" fontId="5" fillId="0" borderId="133" xfId="49" applyNumberFormat="1" applyFont="1" applyFill="1" applyBorder="1" applyAlignment="1">
      <alignment horizontal="center" vertical="center"/>
    </xf>
    <xf numFmtId="201" fontId="8" fillId="0" borderId="21" xfId="49" applyNumberFormat="1" applyFont="1" applyFill="1" applyBorder="1" applyAlignment="1">
      <alignment horizontal="center" vertical="top" textRotation="255" wrapText="1" shrinkToFit="1"/>
    </xf>
    <xf numFmtId="201" fontId="8" fillId="0" borderId="103" xfId="49" applyNumberFormat="1" applyFont="1" applyFill="1" applyBorder="1" applyAlignment="1">
      <alignment horizontal="center" vertical="top" textRotation="255" wrapText="1" shrinkToFit="1"/>
    </xf>
    <xf numFmtId="201" fontId="8" fillId="0" borderId="104" xfId="49" applyNumberFormat="1" applyFont="1" applyFill="1" applyBorder="1" applyAlignment="1">
      <alignment horizontal="center" vertical="top" textRotation="255" wrapText="1" shrinkToFit="1"/>
    </xf>
    <xf numFmtId="201" fontId="8" fillId="0" borderId="22" xfId="49" applyNumberFormat="1" applyFont="1" applyFill="1" applyBorder="1" applyAlignment="1">
      <alignment horizontal="center" vertical="top" textRotation="255" wrapText="1" shrinkToFit="1"/>
    </xf>
    <xf numFmtId="201" fontId="8" fillId="0" borderId="72" xfId="49" applyNumberFormat="1" applyFont="1" applyFill="1" applyBorder="1" applyAlignment="1">
      <alignment horizontal="center" vertical="top" textRotation="255" wrapText="1" shrinkToFit="1"/>
    </xf>
    <xf numFmtId="201" fontId="8" fillId="0" borderId="86" xfId="49" applyNumberFormat="1" applyFont="1" applyFill="1" applyBorder="1" applyAlignment="1">
      <alignment horizontal="center" vertical="top" textRotation="255" wrapText="1" shrinkToFit="1"/>
    </xf>
    <xf numFmtId="201" fontId="8" fillId="0" borderId="15" xfId="49" applyNumberFormat="1" applyFont="1" applyFill="1" applyBorder="1" applyAlignment="1">
      <alignment horizontal="center" vertical="top" textRotation="255" wrapText="1" shrinkToFit="1"/>
    </xf>
    <xf numFmtId="201" fontId="8" fillId="0" borderId="46" xfId="49" applyNumberFormat="1" applyFont="1" applyFill="1" applyBorder="1" applyAlignment="1">
      <alignment horizontal="center" vertical="top" textRotation="255" wrapText="1" shrinkToFit="1"/>
    </xf>
    <xf numFmtId="201" fontId="8" fillId="0" borderId="87" xfId="49" applyNumberFormat="1" applyFont="1" applyFill="1" applyBorder="1" applyAlignment="1">
      <alignment horizontal="center" vertical="top" textRotation="255" wrapText="1" shrinkToFit="1"/>
    </xf>
    <xf numFmtId="201" fontId="11" fillId="0" borderId="131" xfId="49" applyNumberFormat="1" applyFont="1" applyFill="1" applyBorder="1" applyAlignment="1">
      <alignment horizontal="center" vertical="center"/>
    </xf>
    <xf numFmtId="201" fontId="11" fillId="0" borderId="132" xfId="49" applyNumberFormat="1" applyFont="1" applyFill="1" applyBorder="1" applyAlignment="1">
      <alignment horizontal="center" vertical="center"/>
    </xf>
    <xf numFmtId="201" fontId="11" fillId="0" borderId="133" xfId="49" applyNumberFormat="1" applyFont="1" applyFill="1" applyBorder="1" applyAlignment="1">
      <alignment horizontal="center" vertical="center"/>
    </xf>
    <xf numFmtId="201" fontId="11" fillId="0" borderId="15" xfId="49" applyNumberFormat="1" applyFont="1" applyFill="1" applyBorder="1" applyAlignment="1">
      <alignment horizontal="center" vertical="top" textRotation="255" wrapText="1" shrinkToFit="1"/>
    </xf>
    <xf numFmtId="201" fontId="11" fillId="0" borderId="46" xfId="49" applyNumberFormat="1" applyFont="1" applyFill="1" applyBorder="1" applyAlignment="1">
      <alignment horizontal="center" vertical="top" textRotation="255" wrapText="1" shrinkToFit="1"/>
    </xf>
    <xf numFmtId="201" fontId="11" fillId="0" borderId="87" xfId="49" applyNumberFormat="1" applyFont="1" applyFill="1" applyBorder="1" applyAlignment="1">
      <alignment horizontal="center" vertical="top" textRotation="255" wrapText="1" shrinkToFit="1"/>
    </xf>
    <xf numFmtId="201" fontId="11" fillId="0" borderId="16" xfId="49" applyNumberFormat="1" applyFont="1" applyFill="1" applyBorder="1" applyAlignment="1">
      <alignment horizontal="center" vertical="top" textRotation="255" wrapText="1" shrinkToFit="1"/>
    </xf>
    <xf numFmtId="201" fontId="11" fillId="0" borderId="129" xfId="49" applyNumberFormat="1" applyFont="1" applyFill="1" applyBorder="1" applyAlignment="1">
      <alignment horizontal="center" vertical="top" textRotation="255" wrapText="1" shrinkToFit="1"/>
    </xf>
    <xf numFmtId="201" fontId="11" fillId="0" borderId="123" xfId="49" applyNumberFormat="1" applyFont="1" applyFill="1" applyBorder="1" applyAlignment="1">
      <alignment horizontal="center" vertical="top" textRotation="255" wrapText="1" shrinkToFit="1"/>
    </xf>
    <xf numFmtId="201" fontId="11" fillId="0" borderId="21" xfId="49" applyNumberFormat="1" applyFont="1" applyFill="1" applyBorder="1" applyAlignment="1">
      <alignment horizontal="center" vertical="top" textRotation="255" wrapText="1" shrinkToFit="1"/>
    </xf>
    <xf numFmtId="201" fontId="11" fillId="0" borderId="103" xfId="49" applyNumberFormat="1" applyFont="1" applyFill="1" applyBorder="1" applyAlignment="1">
      <alignment horizontal="center" vertical="top" textRotation="255" wrapText="1" shrinkToFit="1"/>
    </xf>
    <xf numFmtId="201" fontId="11" fillId="0" borderId="104" xfId="49" applyNumberFormat="1" applyFont="1" applyFill="1" applyBorder="1" applyAlignment="1">
      <alignment horizontal="center" vertical="top" textRotation="255" wrapText="1" shrinkToFit="1"/>
    </xf>
    <xf numFmtId="201" fontId="11" fillId="0" borderId="22" xfId="49" applyNumberFormat="1" applyFont="1" applyFill="1" applyBorder="1" applyAlignment="1">
      <alignment horizontal="center" vertical="top" textRotation="255" wrapText="1" shrinkToFit="1"/>
    </xf>
    <xf numFmtId="201" fontId="11" fillId="0" borderId="72" xfId="49" applyNumberFormat="1" applyFont="1" applyFill="1" applyBorder="1" applyAlignment="1">
      <alignment horizontal="center" vertical="top" textRotation="255" wrapText="1" shrinkToFit="1"/>
    </xf>
    <xf numFmtId="201" fontId="11" fillId="0" borderId="86" xfId="49" applyNumberFormat="1" applyFont="1" applyFill="1" applyBorder="1" applyAlignment="1">
      <alignment horizontal="center" vertical="top" textRotation="255" wrapText="1" shrinkToFit="1"/>
    </xf>
    <xf numFmtId="201" fontId="13" fillId="0" borderId="26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44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111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40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113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43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123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127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128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61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112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54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77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55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110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36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16" xfId="49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18" xfId="49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03" xfId="49" applyNumberFormat="1" applyFont="1" applyBorder="1" applyAlignment="1">
      <alignment horizontal="center" vertical="top" textRotation="255" wrapText="1" shrinkToFit="1"/>
    </xf>
    <xf numFmtId="0" fontId="11" fillId="0" borderId="104" xfId="49" applyNumberFormat="1" applyFont="1" applyBorder="1" applyAlignment="1">
      <alignment horizontal="center" vertical="top" textRotation="255" wrapText="1" shrinkToFit="1"/>
    </xf>
    <xf numFmtId="201" fontId="13" fillId="0" borderId="111" xfId="0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40" xfId="0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112" xfId="0" applyNumberFormat="1" applyFont="1" applyFill="1" applyBorder="1" applyAlignment="1" applyProtection="1">
      <alignment horizontal="distributed" vertical="center" shrinkToFit="1"/>
      <protection locked="0"/>
    </xf>
    <xf numFmtId="201" fontId="13" fillId="0" borderId="54" xfId="0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46" xfId="49" applyNumberFormat="1" applyFont="1" applyBorder="1" applyAlignment="1">
      <alignment horizontal="center" vertical="top" textRotation="255" wrapText="1" shrinkToFit="1"/>
    </xf>
    <xf numFmtId="0" fontId="11" fillId="0" borderId="87" xfId="49" applyNumberFormat="1" applyFont="1" applyBorder="1" applyAlignment="1">
      <alignment horizontal="center" vertical="top" textRotation="255" wrapText="1" shrinkToFit="1"/>
    </xf>
    <xf numFmtId="0" fontId="11" fillId="0" borderId="56" xfId="49" applyNumberFormat="1" applyFont="1" applyBorder="1" applyAlignment="1">
      <alignment horizontal="center" vertical="top" textRotation="255" wrapText="1" shrinkToFit="1"/>
    </xf>
    <xf numFmtId="0" fontId="11" fillId="0" borderId="135" xfId="49" applyNumberFormat="1" applyFont="1" applyBorder="1" applyAlignment="1">
      <alignment horizontal="center" vertical="top" textRotation="255" wrapText="1" shrinkToFit="1"/>
    </xf>
    <xf numFmtId="0" fontId="11" fillId="0" borderId="103" xfId="49" applyNumberFormat="1" applyFont="1" applyFill="1" applyBorder="1" applyAlignment="1">
      <alignment horizontal="center" vertical="top" textRotation="255" wrapText="1" shrinkToFit="1"/>
    </xf>
    <xf numFmtId="0" fontId="11" fillId="0" borderId="104" xfId="49" applyNumberFormat="1" applyFont="1" applyFill="1" applyBorder="1" applyAlignment="1">
      <alignment horizontal="center" vertical="top" textRotation="255" wrapText="1" shrinkToFit="1"/>
    </xf>
    <xf numFmtId="0" fontId="11" fillId="0" borderId="72" xfId="49" applyNumberFormat="1" applyFont="1" applyFill="1" applyBorder="1" applyAlignment="1">
      <alignment horizontal="center" vertical="top" textRotation="255" wrapText="1" shrinkToFit="1"/>
    </xf>
    <xf numFmtId="0" fontId="11" fillId="0" borderId="86" xfId="49" applyNumberFormat="1" applyFont="1" applyFill="1" applyBorder="1" applyAlignment="1">
      <alignment horizontal="center" vertical="top" textRotation="255" wrapText="1" shrinkToFit="1"/>
    </xf>
    <xf numFmtId="0" fontId="11" fillId="0" borderId="46" xfId="49" applyNumberFormat="1" applyFont="1" applyFill="1" applyBorder="1" applyAlignment="1">
      <alignment horizontal="center" vertical="top" textRotation="255" wrapText="1" shrinkToFit="1"/>
    </xf>
    <xf numFmtId="0" fontId="11" fillId="0" borderId="87" xfId="49" applyNumberFormat="1" applyFont="1" applyFill="1" applyBorder="1" applyAlignment="1">
      <alignment horizontal="center" vertical="top" textRotation="255" wrapText="1" shrinkToFit="1"/>
    </xf>
    <xf numFmtId="0" fontId="11" fillId="0" borderId="56" xfId="49" applyNumberFormat="1" applyFont="1" applyFill="1" applyBorder="1" applyAlignment="1">
      <alignment horizontal="center" vertical="top" textRotation="255" wrapText="1" shrinkToFit="1"/>
    </xf>
    <xf numFmtId="0" fontId="11" fillId="0" borderId="135" xfId="49" applyNumberFormat="1" applyFont="1" applyFill="1" applyBorder="1" applyAlignment="1">
      <alignment horizontal="center" vertical="top" textRotation="255" wrapText="1" shrinkToFit="1"/>
    </xf>
    <xf numFmtId="201" fontId="11" fillId="0" borderId="19" xfId="49" applyNumberFormat="1" applyFont="1" applyFill="1" applyBorder="1" applyAlignment="1">
      <alignment horizontal="center" vertical="center"/>
    </xf>
    <xf numFmtId="201" fontId="11" fillId="0" borderId="45" xfId="49" applyNumberFormat="1" applyFont="1" applyFill="1" applyBorder="1" applyAlignment="1">
      <alignment horizontal="center" vertical="center"/>
    </xf>
    <xf numFmtId="201" fontId="11" fillId="0" borderId="122" xfId="49" applyNumberFormat="1" applyFont="1" applyFill="1" applyBorder="1" applyAlignment="1">
      <alignment horizontal="center" vertical="center"/>
    </xf>
    <xf numFmtId="201" fontId="5" fillId="0" borderId="132" xfId="49" applyNumberFormat="1" applyFont="1" applyBorder="1" applyAlignment="1">
      <alignment horizontal="center" vertical="center"/>
    </xf>
    <xf numFmtId="201" fontId="5" fillId="0" borderId="133" xfId="49" applyNumberFormat="1" applyFont="1" applyBorder="1" applyAlignment="1">
      <alignment horizontal="center" vertical="center"/>
    </xf>
    <xf numFmtId="201" fontId="11" fillId="0" borderId="56" xfId="49" applyNumberFormat="1" applyFont="1" applyFill="1" applyBorder="1" applyAlignment="1">
      <alignment horizontal="center" vertical="top" textRotation="255" wrapText="1" shrinkToFit="1"/>
    </xf>
    <xf numFmtId="201" fontId="11" fillId="0" borderId="135" xfId="49" applyNumberFormat="1" applyFont="1" applyFill="1" applyBorder="1" applyAlignment="1">
      <alignment horizontal="center" vertical="top" textRotation="255" wrapText="1" shrinkToFit="1"/>
    </xf>
    <xf numFmtId="201" fontId="11" fillId="0" borderId="45" xfId="49" applyNumberFormat="1" applyFont="1" applyFill="1" applyBorder="1" applyAlignment="1">
      <alignment horizontal="center" vertical="top" textRotation="255" wrapText="1" shrinkToFit="1"/>
    </xf>
    <xf numFmtId="201" fontId="11" fillId="0" borderId="122" xfId="49" applyNumberFormat="1" applyFont="1" applyFill="1" applyBorder="1" applyAlignment="1">
      <alignment horizontal="center" vertical="top" textRotation="255" wrapText="1" shrinkToFit="1"/>
    </xf>
    <xf numFmtId="201" fontId="11" fillId="0" borderId="47" xfId="49" applyNumberFormat="1" applyFont="1" applyFill="1" applyBorder="1" applyAlignment="1">
      <alignment horizontal="center" vertical="top" textRotation="255" wrapText="1" shrinkToFit="1"/>
    </xf>
    <xf numFmtId="201" fontId="11" fillId="0" borderId="89" xfId="49" applyNumberFormat="1" applyFont="1" applyFill="1" applyBorder="1" applyAlignment="1">
      <alignment horizontal="center" vertical="top" textRotation="255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年齢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F57"/>
  <sheetViews>
    <sheetView tabSelected="1" view="pageBreakPreview" zoomScaleNormal="85" zoomScaleSheetLayoutView="100" workbookViewId="0" topLeftCell="M37">
      <selection activeCell="M57" sqref="A57:IV57"/>
    </sheetView>
  </sheetViews>
  <sheetFormatPr defaultColWidth="10.00390625" defaultRowHeight="15" customHeight="1"/>
  <cols>
    <col min="1" max="1" width="3.125" style="6" customWidth="1"/>
    <col min="2" max="2" width="9.50390625" style="1" customWidth="1"/>
    <col min="3" max="3" width="2.25390625" style="1" customWidth="1"/>
    <col min="4" max="4" width="11.75390625" style="2" customWidth="1"/>
    <col min="5" max="6" width="8.125" style="445" customWidth="1"/>
    <col min="7" max="7" width="10.625" style="6" customWidth="1"/>
    <col min="8" max="13" width="7.625" style="6" customWidth="1"/>
    <col min="14" max="14" width="9.375" style="6" customWidth="1"/>
    <col min="15" max="20" width="5.875" style="6" customWidth="1"/>
    <col min="21" max="21" width="6.625" style="6" customWidth="1"/>
    <col min="22" max="27" width="5.875" style="6" customWidth="1"/>
    <col min="28" max="28" width="6.75390625" style="6" bestFit="1" customWidth="1"/>
    <col min="29" max="29" width="3.125" style="6" customWidth="1"/>
    <col min="30" max="30" width="6.00390625" style="6" customWidth="1"/>
    <col min="31" max="32" width="5.75390625" style="6" customWidth="1"/>
    <col min="33" max="16384" width="10.00390625" style="6" customWidth="1"/>
  </cols>
  <sheetData>
    <row r="1" spans="1:28" ht="18" customHeight="1">
      <c r="A1" s="7"/>
      <c r="C1" s="608"/>
      <c r="D1" s="608"/>
      <c r="E1" s="610" t="s">
        <v>98</v>
      </c>
      <c r="F1" s="608"/>
      <c r="G1" s="608"/>
      <c r="H1" s="608"/>
      <c r="I1" s="608"/>
      <c r="J1" s="608"/>
      <c r="K1" s="608"/>
      <c r="L1" s="608"/>
      <c r="M1" s="608"/>
      <c r="N1" s="608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</row>
    <row r="2" spans="1:28" ht="13.5" customHeight="1" thickBot="1">
      <c r="A2" s="7"/>
      <c r="B2" s="24"/>
      <c r="C2" s="24"/>
      <c r="D2" s="25"/>
      <c r="E2" s="422"/>
      <c r="F2" s="423"/>
      <c r="G2" s="27"/>
      <c r="H2" s="27"/>
      <c r="I2" s="27"/>
      <c r="J2" s="28"/>
      <c r="K2" s="28"/>
      <c r="L2" s="29"/>
      <c r="M2" s="27"/>
      <c r="N2" s="2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8.75" customHeight="1" thickBot="1">
      <c r="A3" s="7"/>
      <c r="B3" s="661" t="s">
        <v>95</v>
      </c>
      <c r="C3" s="669" t="s">
        <v>42</v>
      </c>
      <c r="D3" s="670"/>
      <c r="E3" s="675" t="s">
        <v>54</v>
      </c>
      <c r="F3" s="676"/>
      <c r="G3" s="676"/>
      <c r="H3" s="676"/>
      <c r="I3" s="676"/>
      <c r="J3" s="676"/>
      <c r="K3" s="676"/>
      <c r="L3" s="676"/>
      <c r="M3" s="676"/>
      <c r="N3" s="677"/>
      <c r="O3" s="656" t="s">
        <v>51</v>
      </c>
      <c r="P3" s="656"/>
      <c r="Q3" s="656"/>
      <c r="R3" s="656"/>
      <c r="S3" s="656"/>
      <c r="T3" s="656"/>
      <c r="U3" s="645"/>
      <c r="V3" s="656" t="s">
        <v>52</v>
      </c>
      <c r="W3" s="656"/>
      <c r="X3" s="656"/>
      <c r="Y3" s="656"/>
      <c r="Z3" s="656"/>
      <c r="AA3" s="656"/>
      <c r="AB3" s="645"/>
    </row>
    <row r="4" spans="1:28" ht="18.75" customHeight="1" thickBot="1">
      <c r="A4" s="7"/>
      <c r="B4" s="662"/>
      <c r="C4" s="671"/>
      <c r="D4" s="672"/>
      <c r="E4" s="643" t="s">
        <v>0</v>
      </c>
      <c r="F4" s="644"/>
      <c r="G4" s="645"/>
      <c r="H4" s="644"/>
      <c r="I4" s="644"/>
      <c r="J4" s="644"/>
      <c r="K4" s="644"/>
      <c r="L4" s="644"/>
      <c r="M4" s="644"/>
      <c r="N4" s="645"/>
      <c r="O4" s="657"/>
      <c r="P4" s="657"/>
      <c r="Q4" s="657"/>
      <c r="R4" s="657"/>
      <c r="S4" s="657"/>
      <c r="T4" s="657"/>
      <c r="U4" s="658"/>
      <c r="V4" s="657"/>
      <c r="W4" s="657"/>
      <c r="X4" s="657"/>
      <c r="Y4" s="657"/>
      <c r="Z4" s="657"/>
      <c r="AA4" s="657"/>
      <c r="AB4" s="658"/>
    </row>
    <row r="5" spans="1:28" ht="31.5" customHeight="1">
      <c r="A5" s="7"/>
      <c r="B5" s="662"/>
      <c r="C5" s="671"/>
      <c r="D5" s="672"/>
      <c r="E5" s="653" t="s">
        <v>1</v>
      </c>
      <c r="F5" s="654" t="s">
        <v>2</v>
      </c>
      <c r="G5" s="666" t="s">
        <v>3</v>
      </c>
      <c r="H5" s="158">
        <v>70</v>
      </c>
      <c r="I5" s="156">
        <v>75</v>
      </c>
      <c r="J5" s="158">
        <v>80</v>
      </c>
      <c r="K5" s="156">
        <v>85</v>
      </c>
      <c r="L5" s="158">
        <v>90</v>
      </c>
      <c r="M5" s="678" t="s">
        <v>5</v>
      </c>
      <c r="N5" s="659" t="s">
        <v>3</v>
      </c>
      <c r="O5" s="159">
        <v>70</v>
      </c>
      <c r="P5" s="156">
        <v>75</v>
      </c>
      <c r="Q5" s="159">
        <v>80</v>
      </c>
      <c r="R5" s="156">
        <v>85</v>
      </c>
      <c r="S5" s="159">
        <v>90</v>
      </c>
      <c r="T5" s="678" t="s">
        <v>5</v>
      </c>
      <c r="U5" s="660" t="s">
        <v>3</v>
      </c>
      <c r="V5" s="159">
        <v>70</v>
      </c>
      <c r="W5" s="156">
        <v>75</v>
      </c>
      <c r="X5" s="159">
        <v>80</v>
      </c>
      <c r="Y5" s="156">
        <v>85</v>
      </c>
      <c r="Z5" s="159">
        <v>90</v>
      </c>
      <c r="AA5" s="678" t="s">
        <v>5</v>
      </c>
      <c r="AB5" s="660" t="s">
        <v>3</v>
      </c>
    </row>
    <row r="6" spans="1:28" ht="31.5" customHeight="1">
      <c r="A6" s="7"/>
      <c r="B6" s="662"/>
      <c r="C6" s="671"/>
      <c r="D6" s="672"/>
      <c r="E6" s="653"/>
      <c r="F6" s="654"/>
      <c r="G6" s="667"/>
      <c r="H6" s="161" t="s">
        <v>41</v>
      </c>
      <c r="I6" s="160" t="s">
        <v>41</v>
      </c>
      <c r="J6" s="161" t="s">
        <v>41</v>
      </c>
      <c r="K6" s="160" t="s">
        <v>41</v>
      </c>
      <c r="L6" s="664" t="s">
        <v>4</v>
      </c>
      <c r="M6" s="678"/>
      <c r="N6" s="660"/>
      <c r="O6" s="161" t="s">
        <v>41</v>
      </c>
      <c r="P6" s="160" t="s">
        <v>41</v>
      </c>
      <c r="Q6" s="161" t="s">
        <v>41</v>
      </c>
      <c r="R6" s="160" t="s">
        <v>41</v>
      </c>
      <c r="S6" s="664" t="s">
        <v>4</v>
      </c>
      <c r="T6" s="678"/>
      <c r="U6" s="660"/>
      <c r="V6" s="161" t="s">
        <v>41</v>
      </c>
      <c r="W6" s="160" t="s">
        <v>41</v>
      </c>
      <c r="X6" s="161" t="s">
        <v>41</v>
      </c>
      <c r="Y6" s="160" t="s">
        <v>41</v>
      </c>
      <c r="Z6" s="664" t="s">
        <v>4</v>
      </c>
      <c r="AA6" s="678"/>
      <c r="AB6" s="660"/>
    </row>
    <row r="7" spans="1:28" ht="31.5" customHeight="1" thickBot="1">
      <c r="A7" s="7"/>
      <c r="B7" s="663"/>
      <c r="C7" s="673"/>
      <c r="D7" s="674"/>
      <c r="E7" s="653"/>
      <c r="F7" s="654"/>
      <c r="G7" s="668"/>
      <c r="H7" s="163">
        <v>74</v>
      </c>
      <c r="I7" s="162">
        <v>79</v>
      </c>
      <c r="J7" s="163">
        <v>84</v>
      </c>
      <c r="K7" s="162">
        <v>89</v>
      </c>
      <c r="L7" s="664"/>
      <c r="M7" s="678"/>
      <c r="N7" s="660"/>
      <c r="O7" s="164">
        <v>74</v>
      </c>
      <c r="P7" s="157">
        <v>79</v>
      </c>
      <c r="Q7" s="164">
        <v>84</v>
      </c>
      <c r="R7" s="157">
        <v>89</v>
      </c>
      <c r="S7" s="665"/>
      <c r="T7" s="680"/>
      <c r="U7" s="679"/>
      <c r="V7" s="164">
        <v>74</v>
      </c>
      <c r="W7" s="157">
        <v>79</v>
      </c>
      <c r="X7" s="164">
        <v>84</v>
      </c>
      <c r="Y7" s="157">
        <v>89</v>
      </c>
      <c r="Z7" s="665"/>
      <c r="AA7" s="680"/>
      <c r="AB7" s="679"/>
    </row>
    <row r="8" spans="1:32" ht="18" customHeight="1">
      <c r="A8" s="447"/>
      <c r="B8" s="624" t="s">
        <v>44</v>
      </c>
      <c r="C8" s="629" t="s">
        <v>10</v>
      </c>
      <c r="D8" s="630"/>
      <c r="E8" s="435">
        <f>U8</f>
        <v>684</v>
      </c>
      <c r="F8" s="436">
        <f>AB8</f>
        <v>1684</v>
      </c>
      <c r="G8" s="126">
        <f>E8+F8</f>
        <v>2368</v>
      </c>
      <c r="H8" s="117">
        <f aca="true" t="shared" si="0" ref="H8:M10">O8+V8</f>
        <v>522</v>
      </c>
      <c r="I8" s="127">
        <f t="shared" si="0"/>
        <v>623</v>
      </c>
      <c r="J8" s="117">
        <f t="shared" si="0"/>
        <v>617</v>
      </c>
      <c r="K8" s="127">
        <f t="shared" si="0"/>
        <v>427</v>
      </c>
      <c r="L8" s="117">
        <f t="shared" si="0"/>
        <v>179</v>
      </c>
      <c r="M8" s="127">
        <f t="shared" si="0"/>
        <v>0</v>
      </c>
      <c r="N8" s="126">
        <f>SUM(H8:M8)</f>
        <v>2368</v>
      </c>
      <c r="O8" s="328">
        <v>206</v>
      </c>
      <c r="P8" s="327">
        <v>185</v>
      </c>
      <c r="Q8" s="327">
        <v>139</v>
      </c>
      <c r="R8" s="327">
        <v>109</v>
      </c>
      <c r="S8" s="327">
        <v>45</v>
      </c>
      <c r="T8" s="328">
        <v>0</v>
      </c>
      <c r="U8" s="119">
        <f>SUM(O8:T8)</f>
        <v>684</v>
      </c>
      <c r="V8" s="327">
        <v>316</v>
      </c>
      <c r="W8" s="327">
        <v>438</v>
      </c>
      <c r="X8" s="327">
        <v>478</v>
      </c>
      <c r="Y8" s="327">
        <v>318</v>
      </c>
      <c r="Z8" s="327">
        <v>134</v>
      </c>
      <c r="AA8" s="328">
        <v>0</v>
      </c>
      <c r="AB8" s="119">
        <f>SUM(V8:AA8)</f>
        <v>1684</v>
      </c>
      <c r="AD8" s="7">
        <f aca="true" t="shared" si="1" ref="AD8:AD55">IF(E8=U8,"","ｴﾗｰ")</f>
      </c>
      <c r="AE8" s="7">
        <f aca="true" t="shared" si="2" ref="AE8:AE55">IF(F8=AB8,"","ｴﾗｰ")</f>
      </c>
      <c r="AF8" s="7">
        <f aca="true" t="shared" si="3" ref="AF8:AF37">IF(G8=N8,"","ｴﾗｰ")</f>
      </c>
    </row>
    <row r="9" spans="1:32" ht="18" customHeight="1">
      <c r="A9" s="447"/>
      <c r="B9" s="625"/>
      <c r="C9" s="681" t="s">
        <v>11</v>
      </c>
      <c r="D9" s="682"/>
      <c r="E9" s="431">
        <f>U9</f>
        <v>69</v>
      </c>
      <c r="F9" s="437">
        <f>AB9</f>
        <v>183</v>
      </c>
      <c r="G9" s="129">
        <f>E9+F9</f>
        <v>252</v>
      </c>
      <c r="H9" s="130">
        <f t="shared" si="0"/>
        <v>57</v>
      </c>
      <c r="I9" s="131">
        <f t="shared" si="0"/>
        <v>86</v>
      </c>
      <c r="J9" s="130">
        <f t="shared" si="0"/>
        <v>52</v>
      </c>
      <c r="K9" s="131">
        <f t="shared" si="0"/>
        <v>37</v>
      </c>
      <c r="L9" s="130">
        <f t="shared" si="0"/>
        <v>20</v>
      </c>
      <c r="M9" s="131">
        <f t="shared" si="0"/>
        <v>0</v>
      </c>
      <c r="N9" s="129">
        <f>SUM(H9:M9)</f>
        <v>252</v>
      </c>
      <c r="O9" s="332">
        <v>24</v>
      </c>
      <c r="P9" s="335">
        <v>20</v>
      </c>
      <c r="Q9" s="335">
        <v>11</v>
      </c>
      <c r="R9" s="335">
        <v>11</v>
      </c>
      <c r="S9" s="335">
        <v>3</v>
      </c>
      <c r="T9" s="332">
        <v>0</v>
      </c>
      <c r="U9" s="119">
        <f aca="true" t="shared" si="4" ref="U9:U51">SUM(O9:T9)</f>
        <v>69</v>
      </c>
      <c r="V9" s="335">
        <v>33</v>
      </c>
      <c r="W9" s="335">
        <v>66</v>
      </c>
      <c r="X9" s="335">
        <v>41</v>
      </c>
      <c r="Y9" s="335">
        <v>26</v>
      </c>
      <c r="Z9" s="335">
        <v>17</v>
      </c>
      <c r="AA9" s="332">
        <v>0</v>
      </c>
      <c r="AB9" s="119">
        <f>SUM(V9:AA9)</f>
        <v>183</v>
      </c>
      <c r="AD9" s="7">
        <f t="shared" si="1"/>
      </c>
      <c r="AE9" s="7">
        <f t="shared" si="2"/>
      </c>
      <c r="AF9" s="7">
        <f t="shared" si="3"/>
      </c>
    </row>
    <row r="10" spans="1:32" ht="18" customHeight="1" thickBot="1">
      <c r="A10" s="447"/>
      <c r="B10" s="625"/>
      <c r="C10" s="683" t="s">
        <v>12</v>
      </c>
      <c r="D10" s="684"/>
      <c r="E10" s="438">
        <f>U10</f>
        <v>106</v>
      </c>
      <c r="F10" s="439">
        <f>AB10</f>
        <v>221</v>
      </c>
      <c r="G10" s="132">
        <f>E10+F10</f>
        <v>327</v>
      </c>
      <c r="H10" s="133">
        <f t="shared" si="0"/>
        <v>101</v>
      </c>
      <c r="I10" s="134">
        <f t="shared" si="0"/>
        <v>77</v>
      </c>
      <c r="J10" s="133">
        <f t="shared" si="0"/>
        <v>83</v>
      </c>
      <c r="K10" s="134">
        <f t="shared" si="0"/>
        <v>52</v>
      </c>
      <c r="L10" s="133">
        <f t="shared" si="0"/>
        <v>14</v>
      </c>
      <c r="M10" s="134">
        <f t="shared" si="0"/>
        <v>0</v>
      </c>
      <c r="N10" s="132">
        <f>SUM(H10:M10)</f>
        <v>327</v>
      </c>
      <c r="O10" s="334">
        <v>41</v>
      </c>
      <c r="P10" s="336">
        <v>19</v>
      </c>
      <c r="Q10" s="336">
        <v>25</v>
      </c>
      <c r="R10" s="336">
        <v>18</v>
      </c>
      <c r="S10" s="336">
        <v>3</v>
      </c>
      <c r="T10" s="334">
        <v>0</v>
      </c>
      <c r="U10" s="119">
        <f t="shared" si="4"/>
        <v>106</v>
      </c>
      <c r="V10" s="336">
        <v>60</v>
      </c>
      <c r="W10" s="336">
        <v>58</v>
      </c>
      <c r="X10" s="336">
        <v>58</v>
      </c>
      <c r="Y10" s="336">
        <v>34</v>
      </c>
      <c r="Z10" s="336">
        <v>11</v>
      </c>
      <c r="AA10" s="334">
        <v>0</v>
      </c>
      <c r="AB10" s="132">
        <f>SUM(V10:AA10)</f>
        <v>221</v>
      </c>
      <c r="AD10" s="7">
        <f t="shared" si="1"/>
      </c>
      <c r="AE10" s="7">
        <f t="shared" si="2"/>
      </c>
      <c r="AF10" s="7">
        <f t="shared" si="3"/>
      </c>
    </row>
    <row r="11" spans="1:32" ht="18" customHeight="1" thickBot="1" thickTop="1">
      <c r="A11" s="447"/>
      <c r="B11" s="626"/>
      <c r="C11" s="637" t="s">
        <v>7</v>
      </c>
      <c r="D11" s="638"/>
      <c r="E11" s="426">
        <f aca="true" t="shared" si="5" ref="E11:AB11">SUM(E8:E10)</f>
        <v>859</v>
      </c>
      <c r="F11" s="427">
        <f t="shared" si="5"/>
        <v>2088</v>
      </c>
      <c r="G11" s="135">
        <f t="shared" si="5"/>
        <v>2947</v>
      </c>
      <c r="H11" s="137">
        <f t="shared" si="5"/>
        <v>680</v>
      </c>
      <c r="I11" s="137">
        <f t="shared" si="5"/>
        <v>786</v>
      </c>
      <c r="J11" s="137">
        <f t="shared" si="5"/>
        <v>752</v>
      </c>
      <c r="K11" s="137">
        <f t="shared" si="5"/>
        <v>516</v>
      </c>
      <c r="L11" s="137">
        <f t="shared" si="5"/>
        <v>213</v>
      </c>
      <c r="M11" s="138">
        <f t="shared" si="5"/>
        <v>0</v>
      </c>
      <c r="N11" s="135">
        <f t="shared" si="5"/>
        <v>2947</v>
      </c>
      <c r="O11" s="137">
        <f t="shared" si="5"/>
        <v>271</v>
      </c>
      <c r="P11" s="137">
        <f t="shared" si="5"/>
        <v>224</v>
      </c>
      <c r="Q11" s="137">
        <f t="shared" si="5"/>
        <v>175</v>
      </c>
      <c r="R11" s="137">
        <f t="shared" si="5"/>
        <v>138</v>
      </c>
      <c r="S11" s="137">
        <f t="shared" si="5"/>
        <v>51</v>
      </c>
      <c r="T11" s="138">
        <f t="shared" si="5"/>
        <v>0</v>
      </c>
      <c r="U11" s="122">
        <f t="shared" si="5"/>
        <v>859</v>
      </c>
      <c r="V11" s="125">
        <f t="shared" si="5"/>
        <v>409</v>
      </c>
      <c r="W11" s="125">
        <f t="shared" si="5"/>
        <v>562</v>
      </c>
      <c r="X11" s="125">
        <f t="shared" si="5"/>
        <v>577</v>
      </c>
      <c r="Y11" s="125">
        <f t="shared" si="5"/>
        <v>378</v>
      </c>
      <c r="Z11" s="125">
        <f t="shared" si="5"/>
        <v>162</v>
      </c>
      <c r="AA11" s="125">
        <f t="shared" si="5"/>
        <v>0</v>
      </c>
      <c r="AB11" s="122">
        <f t="shared" si="5"/>
        <v>2088</v>
      </c>
      <c r="AC11" s="7"/>
      <c r="AD11" s="7">
        <f t="shared" si="1"/>
      </c>
      <c r="AE11" s="7">
        <f t="shared" si="2"/>
      </c>
      <c r="AF11" s="7">
        <f t="shared" si="3"/>
      </c>
    </row>
    <row r="12" spans="2:32" s="7" customFormat="1" ht="18" customHeight="1">
      <c r="B12" s="624" t="s">
        <v>47</v>
      </c>
      <c r="C12" s="629" t="s">
        <v>6</v>
      </c>
      <c r="D12" s="630"/>
      <c r="E12" s="435">
        <f>U12</f>
        <v>2243</v>
      </c>
      <c r="F12" s="436">
        <f>AB12</f>
        <v>6335</v>
      </c>
      <c r="G12" s="126">
        <f>E12+F12</f>
        <v>8578</v>
      </c>
      <c r="H12" s="117">
        <f aca="true" t="shared" si="6" ref="H12:M14">O12+V12</f>
        <v>2025</v>
      </c>
      <c r="I12" s="117">
        <f t="shared" si="6"/>
        <v>2133</v>
      </c>
      <c r="J12" s="117">
        <f t="shared" si="6"/>
        <v>2205</v>
      </c>
      <c r="K12" s="117">
        <f t="shared" si="6"/>
        <v>1558</v>
      </c>
      <c r="L12" s="117">
        <f t="shared" si="6"/>
        <v>657</v>
      </c>
      <c r="M12" s="478">
        <f t="shared" si="6"/>
        <v>0</v>
      </c>
      <c r="N12" s="126">
        <f>SUM(H12:M12)</f>
        <v>8578</v>
      </c>
      <c r="O12" s="328">
        <v>756</v>
      </c>
      <c r="P12" s="329">
        <v>568</v>
      </c>
      <c r="Q12" s="327">
        <v>476</v>
      </c>
      <c r="R12" s="327">
        <v>303</v>
      </c>
      <c r="S12" s="327">
        <v>140</v>
      </c>
      <c r="T12" s="328">
        <v>0</v>
      </c>
      <c r="U12" s="119">
        <f t="shared" si="4"/>
        <v>2243</v>
      </c>
      <c r="V12" s="327">
        <v>1269</v>
      </c>
      <c r="W12" s="327">
        <v>1565</v>
      </c>
      <c r="X12" s="327">
        <v>1729</v>
      </c>
      <c r="Y12" s="327">
        <v>1255</v>
      </c>
      <c r="Z12" s="327">
        <v>517</v>
      </c>
      <c r="AA12" s="477">
        <v>0</v>
      </c>
      <c r="AB12" s="119">
        <f aca="true" t="shared" si="7" ref="AB12:AB51">SUM(V12:AA12)</f>
        <v>6335</v>
      </c>
      <c r="AC12" s="6"/>
      <c r="AD12" s="7">
        <f t="shared" si="1"/>
      </c>
      <c r="AE12" s="7">
        <f t="shared" si="2"/>
      </c>
      <c r="AF12" s="7">
        <f t="shared" si="3"/>
      </c>
    </row>
    <row r="13" spans="1:32" ht="18" customHeight="1">
      <c r="A13" s="447"/>
      <c r="B13" s="625"/>
      <c r="C13" s="685" t="s">
        <v>28</v>
      </c>
      <c r="D13" s="686"/>
      <c r="E13" s="429">
        <f>U13</f>
        <v>1395</v>
      </c>
      <c r="F13" s="476">
        <f>AB13</f>
        <v>3251</v>
      </c>
      <c r="G13" s="119">
        <f>E13+F13</f>
        <v>4646</v>
      </c>
      <c r="H13" s="118">
        <f t="shared" si="6"/>
        <v>1315</v>
      </c>
      <c r="I13" s="149">
        <f t="shared" si="6"/>
        <v>1141</v>
      </c>
      <c r="J13" s="118">
        <f t="shared" si="6"/>
        <v>1169</v>
      </c>
      <c r="K13" s="149">
        <f t="shared" si="6"/>
        <v>741</v>
      </c>
      <c r="L13" s="118">
        <f t="shared" si="6"/>
        <v>280</v>
      </c>
      <c r="M13" s="149">
        <f t="shared" si="6"/>
        <v>0</v>
      </c>
      <c r="N13" s="119">
        <f>SUM(H13:M13)</f>
        <v>4646</v>
      </c>
      <c r="O13" s="328">
        <v>518</v>
      </c>
      <c r="P13" s="327">
        <v>339</v>
      </c>
      <c r="Q13" s="327">
        <v>282</v>
      </c>
      <c r="R13" s="327">
        <v>193</v>
      </c>
      <c r="S13" s="327">
        <v>63</v>
      </c>
      <c r="T13" s="477">
        <v>0</v>
      </c>
      <c r="U13" s="119">
        <f t="shared" si="4"/>
        <v>1395</v>
      </c>
      <c r="V13" s="327">
        <v>797</v>
      </c>
      <c r="W13" s="327">
        <v>802</v>
      </c>
      <c r="X13" s="327">
        <v>887</v>
      </c>
      <c r="Y13" s="327">
        <v>548</v>
      </c>
      <c r="Z13" s="327">
        <v>217</v>
      </c>
      <c r="AA13" s="328">
        <v>0</v>
      </c>
      <c r="AB13" s="119">
        <f t="shared" si="7"/>
        <v>3251</v>
      </c>
      <c r="AD13" s="7">
        <f t="shared" si="1"/>
      </c>
      <c r="AE13" s="7">
        <f t="shared" si="2"/>
      </c>
      <c r="AF13" s="7">
        <f t="shared" si="3"/>
      </c>
    </row>
    <row r="14" spans="1:32" ht="18" customHeight="1" thickBot="1">
      <c r="A14" s="447"/>
      <c r="B14" s="625"/>
      <c r="C14" s="633" t="s">
        <v>29</v>
      </c>
      <c r="D14" s="634"/>
      <c r="E14" s="440">
        <f>U14</f>
        <v>161</v>
      </c>
      <c r="F14" s="441">
        <f>AB14</f>
        <v>405</v>
      </c>
      <c r="G14" s="129">
        <f>E14+F14</f>
        <v>566</v>
      </c>
      <c r="H14" s="133">
        <f t="shared" si="6"/>
        <v>156</v>
      </c>
      <c r="I14" s="134">
        <f t="shared" si="6"/>
        <v>157</v>
      </c>
      <c r="J14" s="133">
        <f t="shared" si="6"/>
        <v>129</v>
      </c>
      <c r="K14" s="134">
        <f t="shared" si="6"/>
        <v>89</v>
      </c>
      <c r="L14" s="133">
        <f t="shared" si="6"/>
        <v>35</v>
      </c>
      <c r="M14" s="134">
        <f t="shared" si="6"/>
        <v>0</v>
      </c>
      <c r="N14" s="132">
        <f>SUM(H14:M14)</f>
        <v>566</v>
      </c>
      <c r="O14" s="334">
        <v>68</v>
      </c>
      <c r="P14" s="336">
        <v>46</v>
      </c>
      <c r="Q14" s="336">
        <v>26</v>
      </c>
      <c r="R14" s="336">
        <v>15</v>
      </c>
      <c r="S14" s="336">
        <v>6</v>
      </c>
      <c r="T14" s="338">
        <v>0</v>
      </c>
      <c r="U14" s="132">
        <f t="shared" si="4"/>
        <v>161</v>
      </c>
      <c r="V14" s="336">
        <v>88</v>
      </c>
      <c r="W14" s="336">
        <v>111</v>
      </c>
      <c r="X14" s="336">
        <v>103</v>
      </c>
      <c r="Y14" s="336">
        <v>74</v>
      </c>
      <c r="Z14" s="336">
        <v>29</v>
      </c>
      <c r="AA14" s="334">
        <v>0</v>
      </c>
      <c r="AB14" s="132">
        <f t="shared" si="7"/>
        <v>405</v>
      </c>
      <c r="AD14" s="7">
        <f t="shared" si="1"/>
      </c>
      <c r="AE14" s="7">
        <f t="shared" si="2"/>
      </c>
      <c r="AF14" s="7">
        <f t="shared" si="3"/>
      </c>
    </row>
    <row r="15" spans="1:32" ht="18" customHeight="1" thickBot="1" thickTop="1">
      <c r="A15" s="7"/>
      <c r="B15" s="626"/>
      <c r="C15" s="637" t="s">
        <v>7</v>
      </c>
      <c r="D15" s="638"/>
      <c r="E15" s="424">
        <f>SUM(E12:E14)</f>
        <v>3799</v>
      </c>
      <c r="F15" s="425">
        <f aca="true" t="shared" si="8" ref="F15:AB15">SUM(F12:F14)</f>
        <v>9991</v>
      </c>
      <c r="G15" s="122">
        <f t="shared" si="8"/>
        <v>13790</v>
      </c>
      <c r="H15" s="123">
        <f t="shared" si="8"/>
        <v>3496</v>
      </c>
      <c r="I15" s="123">
        <f t="shared" si="8"/>
        <v>3431</v>
      </c>
      <c r="J15" s="123">
        <f t="shared" si="8"/>
        <v>3503</v>
      </c>
      <c r="K15" s="123">
        <f t="shared" si="8"/>
        <v>2388</v>
      </c>
      <c r="L15" s="123">
        <f t="shared" si="8"/>
        <v>972</v>
      </c>
      <c r="M15" s="124">
        <f t="shared" si="8"/>
        <v>0</v>
      </c>
      <c r="N15" s="122">
        <f t="shared" si="8"/>
        <v>13790</v>
      </c>
      <c r="O15" s="123">
        <f t="shared" si="8"/>
        <v>1342</v>
      </c>
      <c r="P15" s="123">
        <f t="shared" si="8"/>
        <v>953</v>
      </c>
      <c r="Q15" s="123">
        <f t="shared" si="8"/>
        <v>784</v>
      </c>
      <c r="R15" s="123">
        <f t="shared" si="8"/>
        <v>511</v>
      </c>
      <c r="S15" s="123">
        <f t="shared" si="8"/>
        <v>209</v>
      </c>
      <c r="T15" s="124">
        <f t="shared" si="8"/>
        <v>0</v>
      </c>
      <c r="U15" s="135">
        <f t="shared" si="8"/>
        <v>3799</v>
      </c>
      <c r="V15" s="139">
        <f t="shared" si="8"/>
        <v>2154</v>
      </c>
      <c r="W15" s="139">
        <f t="shared" si="8"/>
        <v>2478</v>
      </c>
      <c r="X15" s="139">
        <f t="shared" si="8"/>
        <v>2719</v>
      </c>
      <c r="Y15" s="139">
        <f t="shared" si="8"/>
        <v>1877</v>
      </c>
      <c r="Z15" s="139">
        <f t="shared" si="8"/>
        <v>763</v>
      </c>
      <c r="AA15" s="139">
        <f t="shared" si="8"/>
        <v>0</v>
      </c>
      <c r="AB15" s="135">
        <f t="shared" si="8"/>
        <v>9991</v>
      </c>
      <c r="AD15" s="7">
        <f t="shared" si="1"/>
      </c>
      <c r="AE15" s="7">
        <f t="shared" si="2"/>
      </c>
      <c r="AF15" s="7">
        <f t="shared" si="3"/>
      </c>
    </row>
    <row r="16" spans="1:32" s="7" customFormat="1" ht="18" customHeight="1">
      <c r="A16" s="447"/>
      <c r="B16" s="646" t="s">
        <v>43</v>
      </c>
      <c r="C16" s="641" t="s">
        <v>8</v>
      </c>
      <c r="D16" s="642"/>
      <c r="E16" s="442">
        <f>U16</f>
        <v>3030</v>
      </c>
      <c r="F16" s="443">
        <f>AB16</f>
        <v>7831</v>
      </c>
      <c r="G16" s="140">
        <f>SUM(E16:F16)</f>
        <v>10861</v>
      </c>
      <c r="H16" s="130">
        <f aca="true" t="shared" si="9" ref="H16:M17">O16+V16</f>
        <v>2878</v>
      </c>
      <c r="I16" s="131">
        <f t="shared" si="9"/>
        <v>2904</v>
      </c>
      <c r="J16" s="130">
        <f t="shared" si="9"/>
        <v>2591</v>
      </c>
      <c r="K16" s="131">
        <f t="shared" si="9"/>
        <v>1768</v>
      </c>
      <c r="L16" s="130">
        <f t="shared" si="9"/>
        <v>720</v>
      </c>
      <c r="M16" s="131">
        <f t="shared" si="9"/>
        <v>0</v>
      </c>
      <c r="N16" s="129">
        <f>SUM(H16:M16)</f>
        <v>10861</v>
      </c>
      <c r="O16" s="330">
        <v>1122</v>
      </c>
      <c r="P16" s="330">
        <v>817</v>
      </c>
      <c r="Q16" s="330">
        <v>551</v>
      </c>
      <c r="R16" s="330">
        <v>371</v>
      </c>
      <c r="S16" s="330">
        <v>169</v>
      </c>
      <c r="T16" s="339">
        <v>0</v>
      </c>
      <c r="U16" s="129">
        <f t="shared" si="4"/>
        <v>3030</v>
      </c>
      <c r="V16" s="330">
        <v>1756</v>
      </c>
      <c r="W16" s="330">
        <v>2087</v>
      </c>
      <c r="X16" s="330">
        <v>2040</v>
      </c>
      <c r="Y16" s="330">
        <v>1397</v>
      </c>
      <c r="Z16" s="330">
        <v>551</v>
      </c>
      <c r="AA16" s="339">
        <v>0</v>
      </c>
      <c r="AB16" s="129">
        <f t="shared" si="7"/>
        <v>7831</v>
      </c>
      <c r="AD16" s="7">
        <f t="shared" si="1"/>
      </c>
      <c r="AE16" s="7">
        <f t="shared" si="2"/>
      </c>
      <c r="AF16" s="7">
        <f t="shared" si="3"/>
      </c>
    </row>
    <row r="17" spans="1:32" ht="18" customHeight="1" thickBot="1">
      <c r="A17" s="447"/>
      <c r="B17" s="647"/>
      <c r="C17" s="635" t="s">
        <v>9</v>
      </c>
      <c r="D17" s="636"/>
      <c r="E17" s="431">
        <f>U17</f>
        <v>576</v>
      </c>
      <c r="F17" s="437">
        <f>AB17</f>
        <v>1423</v>
      </c>
      <c r="G17" s="129">
        <f>E17+F17</f>
        <v>1999</v>
      </c>
      <c r="H17" s="130">
        <f t="shared" si="9"/>
        <v>488</v>
      </c>
      <c r="I17" s="131">
        <f t="shared" si="9"/>
        <v>488</v>
      </c>
      <c r="J17" s="130">
        <f t="shared" si="9"/>
        <v>505</v>
      </c>
      <c r="K17" s="131">
        <f t="shared" si="9"/>
        <v>347</v>
      </c>
      <c r="L17" s="130">
        <f t="shared" si="9"/>
        <v>171</v>
      </c>
      <c r="M17" s="131">
        <f t="shared" si="9"/>
        <v>0</v>
      </c>
      <c r="N17" s="129">
        <f>SUM(H17:M17)</f>
        <v>1999</v>
      </c>
      <c r="O17" s="332">
        <v>187</v>
      </c>
      <c r="P17" s="335">
        <v>129</v>
      </c>
      <c r="Q17" s="335">
        <v>118</v>
      </c>
      <c r="R17" s="335">
        <v>94</v>
      </c>
      <c r="S17" s="335">
        <v>48</v>
      </c>
      <c r="T17" s="332">
        <v>0</v>
      </c>
      <c r="U17" s="129">
        <f t="shared" si="4"/>
        <v>576</v>
      </c>
      <c r="V17" s="335">
        <v>301</v>
      </c>
      <c r="W17" s="335">
        <v>359</v>
      </c>
      <c r="X17" s="335">
        <v>387</v>
      </c>
      <c r="Y17" s="335">
        <v>253</v>
      </c>
      <c r="Z17" s="335">
        <v>123</v>
      </c>
      <c r="AA17" s="332">
        <v>0</v>
      </c>
      <c r="AB17" s="129">
        <f t="shared" si="7"/>
        <v>1423</v>
      </c>
      <c r="AC17" s="7"/>
      <c r="AD17" s="7">
        <f t="shared" si="1"/>
      </c>
      <c r="AE17" s="7">
        <f t="shared" si="2"/>
      </c>
      <c r="AF17" s="7">
        <f t="shared" si="3"/>
      </c>
    </row>
    <row r="18" spans="1:32" ht="18" customHeight="1" thickBot="1" thickTop="1">
      <c r="A18" s="7"/>
      <c r="B18" s="648"/>
      <c r="C18" s="637" t="s">
        <v>7</v>
      </c>
      <c r="D18" s="638"/>
      <c r="E18" s="424">
        <f aca="true" t="shared" si="10" ref="E18:AB18">E16+E17</f>
        <v>3606</v>
      </c>
      <c r="F18" s="428">
        <f t="shared" si="10"/>
        <v>9254</v>
      </c>
      <c r="G18" s="120">
        <f t="shared" si="10"/>
        <v>12860</v>
      </c>
      <c r="H18" s="123">
        <f t="shared" si="10"/>
        <v>3366</v>
      </c>
      <c r="I18" s="123">
        <f t="shared" si="10"/>
        <v>3392</v>
      </c>
      <c r="J18" s="123">
        <f t="shared" si="10"/>
        <v>3096</v>
      </c>
      <c r="K18" s="123">
        <f t="shared" si="10"/>
        <v>2115</v>
      </c>
      <c r="L18" s="123">
        <f t="shared" si="10"/>
        <v>891</v>
      </c>
      <c r="M18" s="141">
        <f t="shared" si="10"/>
        <v>0</v>
      </c>
      <c r="N18" s="122">
        <f t="shared" si="10"/>
        <v>12860</v>
      </c>
      <c r="O18" s="123">
        <f t="shared" si="10"/>
        <v>1309</v>
      </c>
      <c r="P18" s="123">
        <f t="shared" si="10"/>
        <v>946</v>
      </c>
      <c r="Q18" s="123">
        <f t="shared" si="10"/>
        <v>669</v>
      </c>
      <c r="R18" s="123">
        <f t="shared" si="10"/>
        <v>465</v>
      </c>
      <c r="S18" s="123">
        <f t="shared" si="10"/>
        <v>217</v>
      </c>
      <c r="T18" s="141">
        <f t="shared" si="10"/>
        <v>0</v>
      </c>
      <c r="U18" s="120">
        <f t="shared" si="10"/>
        <v>3606</v>
      </c>
      <c r="V18" s="123">
        <f t="shared" si="10"/>
        <v>2057</v>
      </c>
      <c r="W18" s="123">
        <f t="shared" si="10"/>
        <v>2446</v>
      </c>
      <c r="X18" s="123">
        <f t="shared" si="10"/>
        <v>2427</v>
      </c>
      <c r="Y18" s="123">
        <f t="shared" si="10"/>
        <v>1650</v>
      </c>
      <c r="Z18" s="123">
        <f t="shared" si="10"/>
        <v>674</v>
      </c>
      <c r="AA18" s="141">
        <f t="shared" si="10"/>
        <v>0</v>
      </c>
      <c r="AB18" s="122">
        <f t="shared" si="10"/>
        <v>9254</v>
      </c>
      <c r="AC18" s="7"/>
      <c r="AD18" s="7">
        <f t="shared" si="1"/>
      </c>
      <c r="AE18" s="7">
        <f t="shared" si="2"/>
      </c>
      <c r="AF18" s="7">
        <f t="shared" si="3"/>
      </c>
    </row>
    <row r="19" spans="1:32" s="7" customFormat="1" ht="18" customHeight="1">
      <c r="A19" s="447"/>
      <c r="B19" s="646" t="s">
        <v>45</v>
      </c>
      <c r="C19" s="629" t="s">
        <v>13</v>
      </c>
      <c r="D19" s="630"/>
      <c r="E19" s="435">
        <f>U19</f>
        <v>388</v>
      </c>
      <c r="F19" s="436">
        <f>AB19</f>
        <v>1155</v>
      </c>
      <c r="G19" s="126">
        <f>E19+F19</f>
        <v>1543</v>
      </c>
      <c r="H19" s="117">
        <f aca="true" t="shared" si="11" ref="H19:M21">O19+V19</f>
        <v>302</v>
      </c>
      <c r="I19" s="127">
        <f t="shared" si="11"/>
        <v>410</v>
      </c>
      <c r="J19" s="117">
        <f t="shared" si="11"/>
        <v>434</v>
      </c>
      <c r="K19" s="127">
        <f t="shared" si="11"/>
        <v>264</v>
      </c>
      <c r="L19" s="117">
        <f t="shared" si="11"/>
        <v>133</v>
      </c>
      <c r="M19" s="127">
        <f t="shared" si="11"/>
        <v>0</v>
      </c>
      <c r="N19" s="126">
        <f>SUM(H19:M19)</f>
        <v>1543</v>
      </c>
      <c r="O19" s="331">
        <v>114</v>
      </c>
      <c r="P19" s="329">
        <v>101</v>
      </c>
      <c r="Q19" s="329">
        <v>91</v>
      </c>
      <c r="R19" s="329">
        <v>54</v>
      </c>
      <c r="S19" s="329">
        <v>28</v>
      </c>
      <c r="T19" s="337">
        <v>0</v>
      </c>
      <c r="U19" s="126">
        <f t="shared" si="4"/>
        <v>388</v>
      </c>
      <c r="V19" s="329">
        <v>188</v>
      </c>
      <c r="W19" s="329">
        <v>309</v>
      </c>
      <c r="X19" s="329">
        <v>343</v>
      </c>
      <c r="Y19" s="329">
        <v>210</v>
      </c>
      <c r="Z19" s="329">
        <v>105</v>
      </c>
      <c r="AA19" s="331">
        <v>0</v>
      </c>
      <c r="AB19" s="126">
        <f t="shared" si="7"/>
        <v>1155</v>
      </c>
      <c r="AD19" s="7">
        <f t="shared" si="1"/>
      </c>
      <c r="AE19" s="7">
        <f t="shared" si="2"/>
      </c>
      <c r="AF19" s="7">
        <f t="shared" si="3"/>
      </c>
    </row>
    <row r="20" spans="1:32" ht="18" customHeight="1">
      <c r="A20" s="447"/>
      <c r="B20" s="647"/>
      <c r="C20" s="631" t="s">
        <v>14</v>
      </c>
      <c r="D20" s="632"/>
      <c r="E20" s="431">
        <f>U20</f>
        <v>27</v>
      </c>
      <c r="F20" s="437">
        <f>AB20</f>
        <v>51</v>
      </c>
      <c r="G20" s="129">
        <f>E20+F20</f>
        <v>78</v>
      </c>
      <c r="H20" s="130">
        <f t="shared" si="11"/>
        <v>8</v>
      </c>
      <c r="I20" s="131">
        <f t="shared" si="11"/>
        <v>20</v>
      </c>
      <c r="J20" s="130">
        <f t="shared" si="11"/>
        <v>23</v>
      </c>
      <c r="K20" s="131">
        <f t="shared" si="11"/>
        <v>23</v>
      </c>
      <c r="L20" s="130">
        <f t="shared" si="11"/>
        <v>4</v>
      </c>
      <c r="M20" s="131">
        <f t="shared" si="11"/>
        <v>0</v>
      </c>
      <c r="N20" s="129">
        <f>SUM(H20:M20)</f>
        <v>78</v>
      </c>
      <c r="O20" s="332">
        <v>4</v>
      </c>
      <c r="P20" s="335">
        <v>10</v>
      </c>
      <c r="Q20" s="335">
        <v>6</v>
      </c>
      <c r="R20" s="335">
        <v>5</v>
      </c>
      <c r="S20" s="335">
        <v>2</v>
      </c>
      <c r="T20" s="340">
        <v>0</v>
      </c>
      <c r="U20" s="129">
        <f t="shared" si="4"/>
        <v>27</v>
      </c>
      <c r="V20" s="335">
        <v>4</v>
      </c>
      <c r="W20" s="335">
        <v>10</v>
      </c>
      <c r="X20" s="335">
        <v>17</v>
      </c>
      <c r="Y20" s="335">
        <v>18</v>
      </c>
      <c r="Z20" s="335">
        <v>2</v>
      </c>
      <c r="AA20" s="332">
        <v>0</v>
      </c>
      <c r="AB20" s="129">
        <f t="shared" si="7"/>
        <v>51</v>
      </c>
      <c r="AD20" s="7">
        <f t="shared" si="1"/>
      </c>
      <c r="AE20" s="7">
        <f t="shared" si="2"/>
      </c>
      <c r="AF20" s="7">
        <f t="shared" si="3"/>
      </c>
    </row>
    <row r="21" spans="1:32" ht="18" customHeight="1" thickBot="1">
      <c r="A21" s="447"/>
      <c r="B21" s="647"/>
      <c r="C21" s="633" t="s">
        <v>64</v>
      </c>
      <c r="D21" s="634"/>
      <c r="E21" s="440">
        <f>U21</f>
        <v>44</v>
      </c>
      <c r="F21" s="441">
        <f>AB21</f>
        <v>129</v>
      </c>
      <c r="G21" s="143">
        <f>E21+F21</f>
        <v>173</v>
      </c>
      <c r="H21" s="133">
        <f t="shared" si="11"/>
        <v>27</v>
      </c>
      <c r="I21" s="134">
        <f t="shared" si="11"/>
        <v>38</v>
      </c>
      <c r="J21" s="133">
        <f t="shared" si="11"/>
        <v>53</v>
      </c>
      <c r="K21" s="134">
        <f t="shared" si="11"/>
        <v>47</v>
      </c>
      <c r="L21" s="133">
        <f t="shared" si="11"/>
        <v>6</v>
      </c>
      <c r="M21" s="134">
        <f t="shared" si="11"/>
        <v>2</v>
      </c>
      <c r="N21" s="132">
        <f>SUM(H21:M21)</f>
        <v>173</v>
      </c>
      <c r="O21" s="334">
        <v>12</v>
      </c>
      <c r="P21" s="336">
        <v>6</v>
      </c>
      <c r="Q21" s="336">
        <v>9</v>
      </c>
      <c r="R21" s="336">
        <v>13</v>
      </c>
      <c r="S21" s="336">
        <v>2</v>
      </c>
      <c r="T21" s="338">
        <v>2</v>
      </c>
      <c r="U21" s="132">
        <f t="shared" si="4"/>
        <v>44</v>
      </c>
      <c r="V21" s="336">
        <v>15</v>
      </c>
      <c r="W21" s="336">
        <v>32</v>
      </c>
      <c r="X21" s="336">
        <v>44</v>
      </c>
      <c r="Y21" s="336">
        <v>34</v>
      </c>
      <c r="Z21" s="336">
        <v>4</v>
      </c>
      <c r="AA21" s="334">
        <v>0</v>
      </c>
      <c r="AB21" s="132">
        <f t="shared" si="7"/>
        <v>129</v>
      </c>
      <c r="AD21" s="7">
        <f t="shared" si="1"/>
      </c>
      <c r="AE21" s="7">
        <f t="shared" si="2"/>
      </c>
      <c r="AF21" s="7">
        <f t="shared" si="3"/>
      </c>
    </row>
    <row r="22" spans="1:32" ht="18" customHeight="1" thickBot="1" thickTop="1">
      <c r="A22" s="7"/>
      <c r="B22" s="648"/>
      <c r="C22" s="627" t="s">
        <v>7</v>
      </c>
      <c r="D22" s="628"/>
      <c r="E22" s="424">
        <f>SUM(E19:E21)</f>
        <v>459</v>
      </c>
      <c r="F22" s="425">
        <f>SUM(F19:F21)</f>
        <v>1335</v>
      </c>
      <c r="G22" s="122">
        <f>SUM(G19:G21)</f>
        <v>1794</v>
      </c>
      <c r="H22" s="123">
        <f aca="true" t="shared" si="12" ref="H22:M22">SUM(H19:H21)</f>
        <v>337</v>
      </c>
      <c r="I22" s="123">
        <f t="shared" si="12"/>
        <v>468</v>
      </c>
      <c r="J22" s="123">
        <f t="shared" si="12"/>
        <v>510</v>
      </c>
      <c r="K22" s="123">
        <f t="shared" si="12"/>
        <v>334</v>
      </c>
      <c r="L22" s="123">
        <f t="shared" si="12"/>
        <v>143</v>
      </c>
      <c r="M22" s="124">
        <f t="shared" si="12"/>
        <v>2</v>
      </c>
      <c r="N22" s="122">
        <f>SUM(N19:N21)</f>
        <v>1794</v>
      </c>
      <c r="O22" s="123">
        <f aca="true" t="shared" si="13" ref="O22:T22">SUM(O19:O21)</f>
        <v>130</v>
      </c>
      <c r="P22" s="123">
        <f t="shared" si="13"/>
        <v>117</v>
      </c>
      <c r="Q22" s="123">
        <f t="shared" si="13"/>
        <v>106</v>
      </c>
      <c r="R22" s="123">
        <f t="shared" si="13"/>
        <v>72</v>
      </c>
      <c r="S22" s="123">
        <f t="shared" si="13"/>
        <v>32</v>
      </c>
      <c r="T22" s="124">
        <f t="shared" si="13"/>
        <v>2</v>
      </c>
      <c r="U22" s="135">
        <f>SUM(U19:U21)</f>
        <v>459</v>
      </c>
      <c r="V22" s="139">
        <f aca="true" t="shared" si="14" ref="V22:AA22">SUM(V19:V21)</f>
        <v>207</v>
      </c>
      <c r="W22" s="139">
        <f t="shared" si="14"/>
        <v>351</v>
      </c>
      <c r="X22" s="139">
        <f t="shared" si="14"/>
        <v>404</v>
      </c>
      <c r="Y22" s="139">
        <f t="shared" si="14"/>
        <v>262</v>
      </c>
      <c r="Z22" s="139">
        <f t="shared" si="14"/>
        <v>111</v>
      </c>
      <c r="AA22" s="139">
        <f t="shared" si="14"/>
        <v>0</v>
      </c>
      <c r="AB22" s="135">
        <f>SUM(AB19:AB21)</f>
        <v>1335</v>
      </c>
      <c r="AD22" s="7">
        <f t="shared" si="1"/>
      </c>
      <c r="AE22" s="7">
        <f t="shared" si="2"/>
      </c>
      <c r="AF22" s="7">
        <f t="shared" si="3"/>
      </c>
    </row>
    <row r="23" spans="1:32" ht="18" customHeight="1">
      <c r="A23" s="447"/>
      <c r="B23" s="646" t="s">
        <v>46</v>
      </c>
      <c r="C23" s="629" t="s">
        <v>15</v>
      </c>
      <c r="D23" s="630"/>
      <c r="E23" s="435">
        <f>U23</f>
        <v>436</v>
      </c>
      <c r="F23" s="436">
        <f>AB23</f>
        <v>1081</v>
      </c>
      <c r="G23" s="126">
        <f>E23+F23</f>
        <v>1517</v>
      </c>
      <c r="H23" s="117">
        <f aca="true" t="shared" si="15" ref="H23:M26">O23+V23</f>
        <v>351</v>
      </c>
      <c r="I23" s="127">
        <f t="shared" si="15"/>
        <v>373</v>
      </c>
      <c r="J23" s="117">
        <f t="shared" si="15"/>
        <v>374</v>
      </c>
      <c r="K23" s="127">
        <f t="shared" si="15"/>
        <v>286</v>
      </c>
      <c r="L23" s="117">
        <f t="shared" si="15"/>
        <v>133</v>
      </c>
      <c r="M23" s="127">
        <f t="shared" si="15"/>
        <v>0</v>
      </c>
      <c r="N23" s="126">
        <f>SUM(H23:M23)</f>
        <v>1517</v>
      </c>
      <c r="O23" s="331">
        <v>149</v>
      </c>
      <c r="P23" s="329">
        <v>108</v>
      </c>
      <c r="Q23" s="329">
        <v>87</v>
      </c>
      <c r="R23" s="329">
        <v>63</v>
      </c>
      <c r="S23" s="329">
        <v>29</v>
      </c>
      <c r="T23" s="337">
        <v>0</v>
      </c>
      <c r="U23" s="129">
        <f t="shared" si="4"/>
        <v>436</v>
      </c>
      <c r="V23" s="327">
        <v>202</v>
      </c>
      <c r="W23" s="327">
        <v>265</v>
      </c>
      <c r="X23" s="327">
        <v>287</v>
      </c>
      <c r="Y23" s="327">
        <v>223</v>
      </c>
      <c r="Z23" s="327">
        <v>104</v>
      </c>
      <c r="AA23" s="328">
        <v>0</v>
      </c>
      <c r="AB23" s="126">
        <f t="shared" si="7"/>
        <v>1081</v>
      </c>
      <c r="AD23" s="7">
        <f t="shared" si="1"/>
      </c>
      <c r="AE23" s="7">
        <f t="shared" si="2"/>
      </c>
      <c r="AF23" s="7">
        <f t="shared" si="3"/>
      </c>
    </row>
    <row r="24" spans="1:32" ht="18" customHeight="1">
      <c r="A24" s="447"/>
      <c r="B24" s="647"/>
      <c r="C24" s="631" t="s">
        <v>16</v>
      </c>
      <c r="D24" s="632"/>
      <c r="E24" s="431">
        <f>U24</f>
        <v>153</v>
      </c>
      <c r="F24" s="437">
        <f>AB24</f>
        <v>352</v>
      </c>
      <c r="G24" s="129">
        <f>E24+F24</f>
        <v>505</v>
      </c>
      <c r="H24" s="130">
        <f t="shared" si="15"/>
        <v>78</v>
      </c>
      <c r="I24" s="131">
        <f t="shared" si="15"/>
        <v>109</v>
      </c>
      <c r="J24" s="130">
        <f t="shared" si="15"/>
        <v>115</v>
      </c>
      <c r="K24" s="131">
        <f t="shared" si="15"/>
        <v>141</v>
      </c>
      <c r="L24" s="130">
        <f t="shared" si="15"/>
        <v>62</v>
      </c>
      <c r="M24" s="131">
        <f t="shared" si="15"/>
        <v>0</v>
      </c>
      <c r="N24" s="129">
        <f>SUM(H24:M24)</f>
        <v>505</v>
      </c>
      <c r="O24" s="332">
        <v>41</v>
      </c>
      <c r="P24" s="335">
        <v>26</v>
      </c>
      <c r="Q24" s="335">
        <v>26</v>
      </c>
      <c r="R24" s="335">
        <v>45</v>
      </c>
      <c r="S24" s="335">
        <v>15</v>
      </c>
      <c r="T24" s="340">
        <v>0</v>
      </c>
      <c r="U24" s="129">
        <f t="shared" si="4"/>
        <v>153</v>
      </c>
      <c r="V24" s="335">
        <v>37</v>
      </c>
      <c r="W24" s="335">
        <v>83</v>
      </c>
      <c r="X24" s="335">
        <v>89</v>
      </c>
      <c r="Y24" s="335">
        <v>96</v>
      </c>
      <c r="Z24" s="335">
        <v>47</v>
      </c>
      <c r="AA24" s="332">
        <v>0</v>
      </c>
      <c r="AB24" s="129">
        <f t="shared" si="7"/>
        <v>352</v>
      </c>
      <c r="AD24" s="7">
        <f t="shared" si="1"/>
      </c>
      <c r="AE24" s="7">
        <f t="shared" si="2"/>
      </c>
      <c r="AF24" s="7">
        <f t="shared" si="3"/>
      </c>
    </row>
    <row r="25" spans="1:32" ht="18" customHeight="1">
      <c r="A25" s="447"/>
      <c r="B25" s="647"/>
      <c r="C25" s="631" t="s">
        <v>17</v>
      </c>
      <c r="D25" s="632"/>
      <c r="E25" s="431">
        <f>U25</f>
        <v>54</v>
      </c>
      <c r="F25" s="437">
        <f>AB25</f>
        <v>162</v>
      </c>
      <c r="G25" s="129">
        <f>E25+F25</f>
        <v>216</v>
      </c>
      <c r="H25" s="130">
        <f t="shared" si="15"/>
        <v>26</v>
      </c>
      <c r="I25" s="131">
        <f t="shared" si="15"/>
        <v>40</v>
      </c>
      <c r="J25" s="130">
        <f t="shared" si="15"/>
        <v>67</v>
      </c>
      <c r="K25" s="131">
        <f t="shared" si="15"/>
        <v>59</v>
      </c>
      <c r="L25" s="130">
        <f t="shared" si="15"/>
        <v>24</v>
      </c>
      <c r="M25" s="131">
        <f t="shared" si="15"/>
        <v>0</v>
      </c>
      <c r="N25" s="129">
        <f>SUM(H25:M25)</f>
        <v>216</v>
      </c>
      <c r="O25" s="332">
        <v>8</v>
      </c>
      <c r="P25" s="335">
        <v>8</v>
      </c>
      <c r="Q25" s="335">
        <v>12</v>
      </c>
      <c r="R25" s="335">
        <v>20</v>
      </c>
      <c r="S25" s="335">
        <v>6</v>
      </c>
      <c r="T25" s="340">
        <v>0</v>
      </c>
      <c r="U25" s="129">
        <f t="shared" si="4"/>
        <v>54</v>
      </c>
      <c r="V25" s="335">
        <v>18</v>
      </c>
      <c r="W25" s="335">
        <v>32</v>
      </c>
      <c r="X25" s="335">
        <v>55</v>
      </c>
      <c r="Y25" s="335">
        <v>39</v>
      </c>
      <c r="Z25" s="335">
        <v>18</v>
      </c>
      <c r="AA25" s="332">
        <v>0</v>
      </c>
      <c r="AB25" s="129">
        <f t="shared" si="7"/>
        <v>162</v>
      </c>
      <c r="AD25" s="7">
        <f t="shared" si="1"/>
      </c>
      <c r="AE25" s="7">
        <f t="shared" si="2"/>
      </c>
      <c r="AF25" s="7">
        <f t="shared" si="3"/>
      </c>
    </row>
    <row r="26" spans="1:32" ht="18" customHeight="1" thickBot="1">
      <c r="A26" s="447"/>
      <c r="B26" s="647"/>
      <c r="C26" s="635" t="s">
        <v>18</v>
      </c>
      <c r="D26" s="636"/>
      <c r="E26" s="440">
        <f>U26</f>
        <v>98</v>
      </c>
      <c r="F26" s="441">
        <f>AB26</f>
        <v>235</v>
      </c>
      <c r="G26" s="143">
        <f>E26+F26</f>
        <v>333</v>
      </c>
      <c r="H26" s="133">
        <f t="shared" si="15"/>
        <v>81</v>
      </c>
      <c r="I26" s="134">
        <f t="shared" si="15"/>
        <v>87</v>
      </c>
      <c r="J26" s="133">
        <f t="shared" si="15"/>
        <v>85</v>
      </c>
      <c r="K26" s="134">
        <f t="shared" si="15"/>
        <v>55</v>
      </c>
      <c r="L26" s="133">
        <f t="shared" si="15"/>
        <v>25</v>
      </c>
      <c r="M26" s="134">
        <f t="shared" si="15"/>
        <v>0</v>
      </c>
      <c r="N26" s="132">
        <f>SUM(H26:M26)</f>
        <v>333</v>
      </c>
      <c r="O26" s="333">
        <v>35</v>
      </c>
      <c r="P26" s="341">
        <v>26</v>
      </c>
      <c r="Q26" s="341">
        <v>17</v>
      </c>
      <c r="R26" s="341">
        <v>14</v>
      </c>
      <c r="S26" s="341">
        <v>6</v>
      </c>
      <c r="T26" s="342">
        <v>0</v>
      </c>
      <c r="U26" s="129">
        <f t="shared" si="4"/>
        <v>98</v>
      </c>
      <c r="V26" s="341">
        <v>46</v>
      </c>
      <c r="W26" s="341">
        <v>61</v>
      </c>
      <c r="X26" s="341">
        <v>68</v>
      </c>
      <c r="Y26" s="341">
        <v>41</v>
      </c>
      <c r="Z26" s="341">
        <v>19</v>
      </c>
      <c r="AA26" s="333">
        <v>0</v>
      </c>
      <c r="AB26" s="132">
        <f t="shared" si="7"/>
        <v>235</v>
      </c>
      <c r="AD26" s="7">
        <f t="shared" si="1"/>
      </c>
      <c r="AE26" s="7">
        <f t="shared" si="2"/>
      </c>
      <c r="AF26" s="7">
        <f t="shared" si="3"/>
      </c>
    </row>
    <row r="27" spans="1:32" ht="18" customHeight="1" thickBot="1" thickTop="1">
      <c r="A27" s="7"/>
      <c r="B27" s="648"/>
      <c r="C27" s="637" t="s">
        <v>7</v>
      </c>
      <c r="D27" s="638"/>
      <c r="E27" s="424">
        <f>SUM(E23:E26)</f>
        <v>741</v>
      </c>
      <c r="F27" s="425">
        <f>SUM(F23:F26)</f>
        <v>1830</v>
      </c>
      <c r="G27" s="122">
        <f>SUM(G23:G26)</f>
        <v>2571</v>
      </c>
      <c r="H27" s="123">
        <f aca="true" t="shared" si="16" ref="H27:M27">SUM(H23:H26)</f>
        <v>536</v>
      </c>
      <c r="I27" s="123">
        <f t="shared" si="16"/>
        <v>609</v>
      </c>
      <c r="J27" s="123">
        <f t="shared" si="16"/>
        <v>641</v>
      </c>
      <c r="K27" s="123">
        <f t="shared" si="16"/>
        <v>541</v>
      </c>
      <c r="L27" s="123">
        <f t="shared" si="16"/>
        <v>244</v>
      </c>
      <c r="M27" s="124">
        <f t="shared" si="16"/>
        <v>0</v>
      </c>
      <c r="N27" s="122">
        <f>SUM(N23:N26)</f>
        <v>2571</v>
      </c>
      <c r="O27" s="123">
        <f aca="true" t="shared" si="17" ref="O27:T27">SUM(O23:O26)</f>
        <v>233</v>
      </c>
      <c r="P27" s="123">
        <f t="shared" si="17"/>
        <v>168</v>
      </c>
      <c r="Q27" s="123">
        <f t="shared" si="17"/>
        <v>142</v>
      </c>
      <c r="R27" s="123">
        <f t="shared" si="17"/>
        <v>142</v>
      </c>
      <c r="S27" s="123">
        <f t="shared" si="17"/>
        <v>56</v>
      </c>
      <c r="T27" s="124">
        <f t="shared" si="17"/>
        <v>0</v>
      </c>
      <c r="U27" s="145">
        <f>SUM(U23:U26)</f>
        <v>741</v>
      </c>
      <c r="V27" s="146">
        <f aca="true" t="shared" si="18" ref="V27:AA27">SUM(V23:V26)</f>
        <v>303</v>
      </c>
      <c r="W27" s="146">
        <f t="shared" si="18"/>
        <v>441</v>
      </c>
      <c r="X27" s="146">
        <f t="shared" si="18"/>
        <v>499</v>
      </c>
      <c r="Y27" s="146">
        <f t="shared" si="18"/>
        <v>399</v>
      </c>
      <c r="Z27" s="146">
        <f t="shared" si="18"/>
        <v>188</v>
      </c>
      <c r="AA27" s="146">
        <f t="shared" si="18"/>
        <v>0</v>
      </c>
      <c r="AB27" s="145">
        <f>SUM(AB23:AB26)</f>
        <v>1830</v>
      </c>
      <c r="AD27" s="7">
        <f t="shared" si="1"/>
      </c>
      <c r="AE27" s="7">
        <f t="shared" si="2"/>
      </c>
      <c r="AF27" s="7">
        <f t="shared" si="3"/>
      </c>
    </row>
    <row r="28" spans="1:32" ht="18" customHeight="1">
      <c r="A28" s="447"/>
      <c r="B28" s="646" t="s">
        <v>96</v>
      </c>
      <c r="C28" s="629" t="s">
        <v>19</v>
      </c>
      <c r="D28" s="630"/>
      <c r="E28" s="435">
        <f aca="true" t="shared" si="19" ref="E28:E33">U28</f>
        <v>202</v>
      </c>
      <c r="F28" s="436">
        <f aca="true" t="shared" si="20" ref="F28:F33">AB28</f>
        <v>519</v>
      </c>
      <c r="G28" s="126">
        <f aca="true" t="shared" si="21" ref="G28:G33">E28+F28</f>
        <v>721</v>
      </c>
      <c r="H28" s="117">
        <f aca="true" t="shared" si="22" ref="H28:M33">O28+V28</f>
        <v>132</v>
      </c>
      <c r="I28" s="127">
        <f t="shared" si="22"/>
        <v>153</v>
      </c>
      <c r="J28" s="117">
        <f t="shared" si="22"/>
        <v>194</v>
      </c>
      <c r="K28" s="127">
        <f t="shared" si="22"/>
        <v>163</v>
      </c>
      <c r="L28" s="117">
        <f t="shared" si="22"/>
        <v>79</v>
      </c>
      <c r="M28" s="127">
        <f t="shared" si="22"/>
        <v>0</v>
      </c>
      <c r="N28" s="126">
        <f aca="true" t="shared" si="23" ref="N28:N33">SUM(H28:M28)</f>
        <v>721</v>
      </c>
      <c r="O28" s="328">
        <v>53</v>
      </c>
      <c r="P28" s="327">
        <v>50</v>
      </c>
      <c r="Q28" s="327">
        <v>43</v>
      </c>
      <c r="R28" s="327">
        <v>35</v>
      </c>
      <c r="S28" s="327">
        <v>21</v>
      </c>
      <c r="T28" s="328">
        <v>0</v>
      </c>
      <c r="U28" s="129">
        <f t="shared" si="4"/>
        <v>202</v>
      </c>
      <c r="V28" s="329">
        <v>79</v>
      </c>
      <c r="W28" s="329">
        <v>103</v>
      </c>
      <c r="X28" s="329">
        <v>151</v>
      </c>
      <c r="Y28" s="329">
        <v>128</v>
      </c>
      <c r="Z28" s="329">
        <v>58</v>
      </c>
      <c r="AA28" s="331">
        <v>0</v>
      </c>
      <c r="AB28" s="126">
        <f t="shared" si="7"/>
        <v>519</v>
      </c>
      <c r="AD28" s="7">
        <f t="shared" si="1"/>
      </c>
      <c r="AE28" s="7">
        <f t="shared" si="2"/>
      </c>
      <c r="AF28" s="7">
        <f t="shared" si="3"/>
      </c>
    </row>
    <row r="29" spans="1:32" ht="18" customHeight="1">
      <c r="A29" s="447"/>
      <c r="B29" s="647"/>
      <c r="C29" s="631" t="s">
        <v>20</v>
      </c>
      <c r="D29" s="632"/>
      <c r="E29" s="431">
        <f t="shared" si="19"/>
        <v>47</v>
      </c>
      <c r="F29" s="437">
        <f t="shared" si="20"/>
        <v>137</v>
      </c>
      <c r="G29" s="129">
        <f t="shared" si="21"/>
        <v>184</v>
      </c>
      <c r="H29" s="130">
        <f t="shared" si="22"/>
        <v>39</v>
      </c>
      <c r="I29" s="131">
        <f t="shared" si="22"/>
        <v>54</v>
      </c>
      <c r="J29" s="130">
        <f t="shared" si="22"/>
        <v>46</v>
      </c>
      <c r="K29" s="131">
        <f t="shared" si="22"/>
        <v>27</v>
      </c>
      <c r="L29" s="130">
        <f t="shared" si="22"/>
        <v>18</v>
      </c>
      <c r="M29" s="131">
        <f t="shared" si="22"/>
        <v>0</v>
      </c>
      <c r="N29" s="129">
        <f t="shared" si="23"/>
        <v>184</v>
      </c>
      <c r="O29" s="332">
        <v>10</v>
      </c>
      <c r="P29" s="335">
        <v>17</v>
      </c>
      <c r="Q29" s="335">
        <v>12</v>
      </c>
      <c r="R29" s="335">
        <v>3</v>
      </c>
      <c r="S29" s="335">
        <v>5</v>
      </c>
      <c r="T29" s="332">
        <v>0</v>
      </c>
      <c r="U29" s="129">
        <f t="shared" si="4"/>
        <v>47</v>
      </c>
      <c r="V29" s="335">
        <v>29</v>
      </c>
      <c r="W29" s="335">
        <v>37</v>
      </c>
      <c r="X29" s="335">
        <v>34</v>
      </c>
      <c r="Y29" s="335">
        <v>24</v>
      </c>
      <c r="Z29" s="335">
        <v>13</v>
      </c>
      <c r="AA29" s="332">
        <v>0</v>
      </c>
      <c r="AB29" s="129">
        <f t="shared" si="7"/>
        <v>137</v>
      </c>
      <c r="AD29" s="7">
        <f t="shared" si="1"/>
      </c>
      <c r="AE29" s="7">
        <f t="shared" si="2"/>
      </c>
      <c r="AF29" s="7">
        <f t="shared" si="3"/>
      </c>
    </row>
    <row r="30" spans="1:32" ht="18" customHeight="1">
      <c r="A30" s="447"/>
      <c r="B30" s="647"/>
      <c r="C30" s="631" t="s">
        <v>21</v>
      </c>
      <c r="D30" s="632"/>
      <c r="E30" s="431">
        <f t="shared" si="19"/>
        <v>98</v>
      </c>
      <c r="F30" s="437">
        <f t="shared" si="20"/>
        <v>197</v>
      </c>
      <c r="G30" s="129">
        <f t="shared" si="21"/>
        <v>295</v>
      </c>
      <c r="H30" s="130">
        <f t="shared" si="22"/>
        <v>76</v>
      </c>
      <c r="I30" s="131">
        <f t="shared" si="22"/>
        <v>83</v>
      </c>
      <c r="J30" s="130">
        <f t="shared" si="22"/>
        <v>62</v>
      </c>
      <c r="K30" s="131">
        <f t="shared" si="22"/>
        <v>50</v>
      </c>
      <c r="L30" s="130">
        <f t="shared" si="22"/>
        <v>24</v>
      </c>
      <c r="M30" s="131">
        <f t="shared" si="22"/>
        <v>0</v>
      </c>
      <c r="N30" s="129">
        <f t="shared" si="23"/>
        <v>295</v>
      </c>
      <c r="O30" s="332">
        <v>32</v>
      </c>
      <c r="P30" s="335">
        <v>32</v>
      </c>
      <c r="Q30" s="335">
        <v>15</v>
      </c>
      <c r="R30" s="335">
        <v>12</v>
      </c>
      <c r="S30" s="335">
        <v>7</v>
      </c>
      <c r="T30" s="332">
        <v>0</v>
      </c>
      <c r="U30" s="129">
        <f t="shared" si="4"/>
        <v>98</v>
      </c>
      <c r="V30" s="335">
        <v>44</v>
      </c>
      <c r="W30" s="335">
        <v>51</v>
      </c>
      <c r="X30" s="335">
        <v>47</v>
      </c>
      <c r="Y30" s="335">
        <v>38</v>
      </c>
      <c r="Z30" s="335">
        <v>17</v>
      </c>
      <c r="AA30" s="332">
        <v>0</v>
      </c>
      <c r="AB30" s="129">
        <f t="shared" si="7"/>
        <v>197</v>
      </c>
      <c r="AD30" s="7">
        <f t="shared" si="1"/>
      </c>
      <c r="AE30" s="7">
        <f t="shared" si="2"/>
      </c>
      <c r="AF30" s="7">
        <f t="shared" si="3"/>
      </c>
    </row>
    <row r="31" spans="1:32" ht="18" customHeight="1">
      <c r="A31" s="447"/>
      <c r="B31" s="647"/>
      <c r="C31" s="631" t="s">
        <v>22</v>
      </c>
      <c r="D31" s="632"/>
      <c r="E31" s="431">
        <f t="shared" si="19"/>
        <v>121</v>
      </c>
      <c r="F31" s="437">
        <f t="shared" si="20"/>
        <v>257</v>
      </c>
      <c r="G31" s="129">
        <f t="shared" si="21"/>
        <v>378</v>
      </c>
      <c r="H31" s="130">
        <f t="shared" si="22"/>
        <v>103</v>
      </c>
      <c r="I31" s="131">
        <f t="shared" si="22"/>
        <v>123</v>
      </c>
      <c r="J31" s="130">
        <f t="shared" si="22"/>
        <v>83</v>
      </c>
      <c r="K31" s="131">
        <f t="shared" si="22"/>
        <v>43</v>
      </c>
      <c r="L31" s="130">
        <f t="shared" si="22"/>
        <v>26</v>
      </c>
      <c r="M31" s="131">
        <f t="shared" si="22"/>
        <v>0</v>
      </c>
      <c r="N31" s="129">
        <f t="shared" si="23"/>
        <v>378</v>
      </c>
      <c r="O31" s="332">
        <v>46</v>
      </c>
      <c r="P31" s="335">
        <v>34</v>
      </c>
      <c r="Q31" s="335">
        <v>27</v>
      </c>
      <c r="R31" s="335">
        <v>9</v>
      </c>
      <c r="S31" s="335">
        <v>5</v>
      </c>
      <c r="T31" s="332">
        <v>0</v>
      </c>
      <c r="U31" s="129">
        <f t="shared" si="4"/>
        <v>121</v>
      </c>
      <c r="V31" s="335">
        <v>57</v>
      </c>
      <c r="W31" s="335">
        <v>89</v>
      </c>
      <c r="X31" s="335">
        <v>56</v>
      </c>
      <c r="Y31" s="335">
        <v>34</v>
      </c>
      <c r="Z31" s="335">
        <v>21</v>
      </c>
      <c r="AA31" s="332">
        <v>0</v>
      </c>
      <c r="AB31" s="129">
        <f t="shared" si="7"/>
        <v>257</v>
      </c>
      <c r="AD31" s="7">
        <f t="shared" si="1"/>
      </c>
      <c r="AE31" s="7">
        <f t="shared" si="2"/>
      </c>
      <c r="AF31" s="7">
        <f t="shared" si="3"/>
      </c>
    </row>
    <row r="32" spans="1:32" ht="18" customHeight="1">
      <c r="A32" s="447"/>
      <c r="B32" s="647"/>
      <c r="C32" s="631" t="s">
        <v>23</v>
      </c>
      <c r="D32" s="632"/>
      <c r="E32" s="440">
        <f t="shared" si="19"/>
        <v>33</v>
      </c>
      <c r="F32" s="441">
        <f t="shared" si="20"/>
        <v>71</v>
      </c>
      <c r="G32" s="143">
        <f t="shared" si="21"/>
        <v>104</v>
      </c>
      <c r="H32" s="144">
        <f t="shared" si="22"/>
        <v>20</v>
      </c>
      <c r="I32" s="147">
        <f t="shared" si="22"/>
        <v>24</v>
      </c>
      <c r="J32" s="144">
        <f t="shared" si="22"/>
        <v>32</v>
      </c>
      <c r="K32" s="147">
        <f t="shared" si="22"/>
        <v>18</v>
      </c>
      <c r="L32" s="144">
        <f t="shared" si="22"/>
        <v>10</v>
      </c>
      <c r="M32" s="147">
        <f t="shared" si="22"/>
        <v>0</v>
      </c>
      <c r="N32" s="143">
        <f t="shared" si="23"/>
        <v>104</v>
      </c>
      <c r="O32" s="333">
        <v>8</v>
      </c>
      <c r="P32" s="341">
        <v>6</v>
      </c>
      <c r="Q32" s="341">
        <v>14</v>
      </c>
      <c r="R32" s="341">
        <v>4</v>
      </c>
      <c r="S32" s="341">
        <v>1</v>
      </c>
      <c r="T32" s="333">
        <v>0</v>
      </c>
      <c r="U32" s="129">
        <f t="shared" si="4"/>
        <v>33</v>
      </c>
      <c r="V32" s="341">
        <v>12</v>
      </c>
      <c r="W32" s="341">
        <v>18</v>
      </c>
      <c r="X32" s="341">
        <v>18</v>
      </c>
      <c r="Y32" s="341">
        <v>14</v>
      </c>
      <c r="Z32" s="341">
        <v>9</v>
      </c>
      <c r="AA32" s="333">
        <v>0</v>
      </c>
      <c r="AB32" s="143">
        <f t="shared" si="7"/>
        <v>71</v>
      </c>
      <c r="AD32" s="7">
        <f t="shared" si="1"/>
      </c>
      <c r="AE32" s="7">
        <f t="shared" si="2"/>
      </c>
      <c r="AF32" s="7">
        <f t="shared" si="3"/>
      </c>
    </row>
    <row r="33" spans="1:32" ht="18" customHeight="1" thickBot="1">
      <c r="A33" s="447"/>
      <c r="B33" s="649"/>
      <c r="C33" s="633" t="s">
        <v>66</v>
      </c>
      <c r="D33" s="634"/>
      <c r="E33" s="438">
        <f t="shared" si="19"/>
        <v>169</v>
      </c>
      <c r="F33" s="439">
        <f t="shared" si="20"/>
        <v>407</v>
      </c>
      <c r="G33" s="132">
        <f t="shared" si="21"/>
        <v>576</v>
      </c>
      <c r="H33" s="133">
        <f t="shared" si="22"/>
        <v>120</v>
      </c>
      <c r="I33" s="134">
        <f t="shared" si="22"/>
        <v>134</v>
      </c>
      <c r="J33" s="133">
        <f t="shared" si="22"/>
        <v>143</v>
      </c>
      <c r="K33" s="134">
        <f t="shared" si="22"/>
        <v>116</v>
      </c>
      <c r="L33" s="133">
        <f t="shared" si="22"/>
        <v>63</v>
      </c>
      <c r="M33" s="134">
        <f t="shared" si="22"/>
        <v>0</v>
      </c>
      <c r="N33" s="132">
        <f t="shared" si="23"/>
        <v>576</v>
      </c>
      <c r="O33" s="334">
        <v>41</v>
      </c>
      <c r="P33" s="336">
        <v>42</v>
      </c>
      <c r="Q33" s="336">
        <v>35</v>
      </c>
      <c r="R33" s="336">
        <v>37</v>
      </c>
      <c r="S33" s="336">
        <v>14</v>
      </c>
      <c r="T33" s="334">
        <v>0</v>
      </c>
      <c r="U33" s="129">
        <f t="shared" si="4"/>
        <v>169</v>
      </c>
      <c r="V33" s="343">
        <v>79</v>
      </c>
      <c r="W33" s="343">
        <v>92</v>
      </c>
      <c r="X33" s="343">
        <v>108</v>
      </c>
      <c r="Y33" s="343">
        <v>79</v>
      </c>
      <c r="Z33" s="343">
        <v>49</v>
      </c>
      <c r="AA33" s="344">
        <v>0</v>
      </c>
      <c r="AB33" s="132">
        <f t="shared" si="7"/>
        <v>407</v>
      </c>
      <c r="AD33" s="7">
        <f t="shared" si="1"/>
      </c>
      <c r="AE33" s="7">
        <f t="shared" si="2"/>
      </c>
      <c r="AF33" s="7">
        <f t="shared" si="3"/>
      </c>
    </row>
    <row r="34" spans="1:32" ht="18" customHeight="1" thickBot="1" thickTop="1">
      <c r="A34" s="7"/>
      <c r="B34" s="648"/>
      <c r="C34" s="627" t="s">
        <v>7</v>
      </c>
      <c r="D34" s="628"/>
      <c r="E34" s="426">
        <f aca="true" t="shared" si="24" ref="E34:AB34">SUM(E28:E33)</f>
        <v>670</v>
      </c>
      <c r="F34" s="427">
        <f t="shared" si="24"/>
        <v>1588</v>
      </c>
      <c r="G34" s="135">
        <f t="shared" si="24"/>
        <v>2258</v>
      </c>
      <c r="H34" s="137">
        <f t="shared" si="24"/>
        <v>490</v>
      </c>
      <c r="I34" s="137">
        <f t="shared" si="24"/>
        <v>571</v>
      </c>
      <c r="J34" s="137">
        <f t="shared" si="24"/>
        <v>560</v>
      </c>
      <c r="K34" s="137">
        <f t="shared" si="24"/>
        <v>417</v>
      </c>
      <c r="L34" s="137">
        <f t="shared" si="24"/>
        <v>220</v>
      </c>
      <c r="M34" s="138">
        <f t="shared" si="24"/>
        <v>0</v>
      </c>
      <c r="N34" s="135">
        <f t="shared" si="24"/>
        <v>2258</v>
      </c>
      <c r="O34" s="137">
        <f t="shared" si="24"/>
        <v>190</v>
      </c>
      <c r="P34" s="137">
        <f t="shared" si="24"/>
        <v>181</v>
      </c>
      <c r="Q34" s="137">
        <f t="shared" si="24"/>
        <v>146</v>
      </c>
      <c r="R34" s="137">
        <f t="shared" si="24"/>
        <v>100</v>
      </c>
      <c r="S34" s="137">
        <f t="shared" si="24"/>
        <v>53</v>
      </c>
      <c r="T34" s="138">
        <f t="shared" si="24"/>
        <v>0</v>
      </c>
      <c r="U34" s="135">
        <f t="shared" si="24"/>
        <v>670</v>
      </c>
      <c r="V34" s="139">
        <f t="shared" si="24"/>
        <v>300</v>
      </c>
      <c r="W34" s="139">
        <f t="shared" si="24"/>
        <v>390</v>
      </c>
      <c r="X34" s="139">
        <f t="shared" si="24"/>
        <v>414</v>
      </c>
      <c r="Y34" s="139">
        <f t="shared" si="24"/>
        <v>317</v>
      </c>
      <c r="Z34" s="139">
        <f t="shared" si="24"/>
        <v>167</v>
      </c>
      <c r="AA34" s="139">
        <f t="shared" si="24"/>
        <v>0</v>
      </c>
      <c r="AB34" s="135">
        <f t="shared" si="24"/>
        <v>1588</v>
      </c>
      <c r="AD34" s="7">
        <f t="shared" si="1"/>
      </c>
      <c r="AE34" s="7">
        <f t="shared" si="2"/>
      </c>
      <c r="AF34" s="7">
        <f t="shared" si="3"/>
      </c>
    </row>
    <row r="35" spans="1:32" ht="18" customHeight="1">
      <c r="A35" s="447"/>
      <c r="B35" s="650" t="s">
        <v>97</v>
      </c>
      <c r="C35" s="629" t="s">
        <v>24</v>
      </c>
      <c r="D35" s="630"/>
      <c r="E35" s="435">
        <f>U35</f>
        <v>470</v>
      </c>
      <c r="F35" s="436">
        <f>AB35</f>
        <v>1228</v>
      </c>
      <c r="G35" s="126">
        <f>E35+F35</f>
        <v>1698</v>
      </c>
      <c r="H35" s="117">
        <f aca="true" t="shared" si="25" ref="H35:M39">O35+V35</f>
        <v>387</v>
      </c>
      <c r="I35" s="127">
        <f t="shared" si="25"/>
        <v>436</v>
      </c>
      <c r="J35" s="117">
        <f t="shared" si="25"/>
        <v>425</v>
      </c>
      <c r="K35" s="127">
        <f t="shared" si="25"/>
        <v>316</v>
      </c>
      <c r="L35" s="117">
        <f t="shared" si="25"/>
        <v>134</v>
      </c>
      <c r="M35" s="127">
        <f t="shared" si="25"/>
        <v>0</v>
      </c>
      <c r="N35" s="126">
        <f>SUM(H35:M35)</f>
        <v>1698</v>
      </c>
      <c r="O35" s="331">
        <v>149</v>
      </c>
      <c r="P35" s="329">
        <v>123</v>
      </c>
      <c r="Q35" s="329">
        <v>92</v>
      </c>
      <c r="R35" s="329">
        <v>78</v>
      </c>
      <c r="S35" s="329">
        <v>28</v>
      </c>
      <c r="T35" s="337">
        <v>0</v>
      </c>
      <c r="U35" s="119">
        <f t="shared" si="4"/>
        <v>470</v>
      </c>
      <c r="V35" s="327">
        <v>238</v>
      </c>
      <c r="W35" s="327">
        <v>313</v>
      </c>
      <c r="X35" s="327">
        <v>333</v>
      </c>
      <c r="Y35" s="327">
        <v>238</v>
      </c>
      <c r="Z35" s="327">
        <v>106</v>
      </c>
      <c r="AA35" s="328">
        <v>0</v>
      </c>
      <c r="AB35" s="119">
        <f t="shared" si="7"/>
        <v>1228</v>
      </c>
      <c r="AD35" s="7">
        <f t="shared" si="1"/>
      </c>
      <c r="AE35" s="7">
        <f t="shared" si="2"/>
      </c>
      <c r="AF35" s="7">
        <f t="shared" si="3"/>
      </c>
    </row>
    <row r="36" spans="1:32" ht="18" customHeight="1">
      <c r="A36" s="447"/>
      <c r="B36" s="651"/>
      <c r="C36" s="631" t="s">
        <v>25</v>
      </c>
      <c r="D36" s="632"/>
      <c r="E36" s="431">
        <f>U36</f>
        <v>32</v>
      </c>
      <c r="F36" s="437">
        <f>AB36</f>
        <v>89</v>
      </c>
      <c r="G36" s="129">
        <f>E36+F36</f>
        <v>121</v>
      </c>
      <c r="H36" s="130">
        <f t="shared" si="25"/>
        <v>25</v>
      </c>
      <c r="I36" s="131">
        <f t="shared" si="25"/>
        <v>25</v>
      </c>
      <c r="J36" s="130">
        <f t="shared" si="25"/>
        <v>35</v>
      </c>
      <c r="K36" s="131">
        <f t="shared" si="25"/>
        <v>20</v>
      </c>
      <c r="L36" s="130">
        <f t="shared" si="25"/>
        <v>16</v>
      </c>
      <c r="M36" s="131">
        <f t="shared" si="25"/>
        <v>0</v>
      </c>
      <c r="N36" s="129">
        <f>SUM(H36:M36)</f>
        <v>121</v>
      </c>
      <c r="O36" s="332">
        <v>10</v>
      </c>
      <c r="P36" s="335">
        <v>5</v>
      </c>
      <c r="Q36" s="335">
        <v>9</v>
      </c>
      <c r="R36" s="335">
        <v>5</v>
      </c>
      <c r="S36" s="335">
        <v>3</v>
      </c>
      <c r="T36" s="340">
        <v>0</v>
      </c>
      <c r="U36" s="119">
        <f t="shared" si="4"/>
        <v>32</v>
      </c>
      <c r="V36" s="335">
        <v>15</v>
      </c>
      <c r="W36" s="335">
        <v>20</v>
      </c>
      <c r="X36" s="335">
        <v>26</v>
      </c>
      <c r="Y36" s="335">
        <v>15</v>
      </c>
      <c r="Z36" s="335">
        <v>13</v>
      </c>
      <c r="AA36" s="332">
        <v>0</v>
      </c>
      <c r="AB36" s="119">
        <f t="shared" si="7"/>
        <v>89</v>
      </c>
      <c r="AD36" s="7">
        <f t="shared" si="1"/>
      </c>
      <c r="AE36" s="7">
        <f t="shared" si="2"/>
      </c>
      <c r="AF36" s="7">
        <f t="shared" si="3"/>
      </c>
    </row>
    <row r="37" spans="1:32" ht="18" customHeight="1">
      <c r="A37" s="447"/>
      <c r="B37" s="651"/>
      <c r="C37" s="631" t="s">
        <v>26</v>
      </c>
      <c r="D37" s="632"/>
      <c r="E37" s="431">
        <f>U37</f>
        <v>21</v>
      </c>
      <c r="F37" s="437">
        <f>AB37</f>
        <v>33</v>
      </c>
      <c r="G37" s="129">
        <f>E37+F37</f>
        <v>54</v>
      </c>
      <c r="H37" s="130">
        <f t="shared" si="25"/>
        <v>12</v>
      </c>
      <c r="I37" s="131">
        <f t="shared" si="25"/>
        <v>12</v>
      </c>
      <c r="J37" s="130">
        <f t="shared" si="25"/>
        <v>14</v>
      </c>
      <c r="K37" s="131">
        <f t="shared" si="25"/>
        <v>11</v>
      </c>
      <c r="L37" s="130">
        <f t="shared" si="25"/>
        <v>5</v>
      </c>
      <c r="M37" s="131">
        <f t="shared" si="25"/>
        <v>0</v>
      </c>
      <c r="N37" s="129">
        <f>SUM(H37:M37)</f>
        <v>54</v>
      </c>
      <c r="O37" s="332">
        <v>12</v>
      </c>
      <c r="P37" s="335">
        <v>2</v>
      </c>
      <c r="Q37" s="335">
        <v>3</v>
      </c>
      <c r="R37" s="335">
        <v>3</v>
      </c>
      <c r="S37" s="335">
        <v>1</v>
      </c>
      <c r="T37" s="340">
        <v>0</v>
      </c>
      <c r="U37" s="119">
        <f t="shared" si="4"/>
        <v>21</v>
      </c>
      <c r="V37" s="335">
        <v>0</v>
      </c>
      <c r="W37" s="335">
        <v>10</v>
      </c>
      <c r="X37" s="335">
        <v>11</v>
      </c>
      <c r="Y37" s="335">
        <v>8</v>
      </c>
      <c r="Z37" s="335">
        <v>4</v>
      </c>
      <c r="AA37" s="332">
        <v>0</v>
      </c>
      <c r="AB37" s="119">
        <f t="shared" si="7"/>
        <v>33</v>
      </c>
      <c r="AD37" s="7">
        <f t="shared" si="1"/>
      </c>
      <c r="AE37" s="7">
        <f t="shared" si="2"/>
      </c>
      <c r="AF37" s="7">
        <f t="shared" si="3"/>
      </c>
    </row>
    <row r="38" spans="1:32" ht="18" customHeight="1">
      <c r="A38" s="447"/>
      <c r="B38" s="651"/>
      <c r="C38" s="631" t="s">
        <v>27</v>
      </c>
      <c r="D38" s="632"/>
      <c r="E38" s="440">
        <f>U38</f>
        <v>44</v>
      </c>
      <c r="F38" s="441">
        <f>AB38</f>
        <v>91</v>
      </c>
      <c r="G38" s="129">
        <f>E38+F38</f>
        <v>135</v>
      </c>
      <c r="H38" s="130">
        <f t="shared" si="25"/>
        <v>27</v>
      </c>
      <c r="I38" s="131">
        <f t="shared" si="25"/>
        <v>32</v>
      </c>
      <c r="J38" s="130">
        <f t="shared" si="25"/>
        <v>37</v>
      </c>
      <c r="K38" s="131">
        <f t="shared" si="25"/>
        <v>24</v>
      </c>
      <c r="L38" s="130">
        <f t="shared" si="25"/>
        <v>15</v>
      </c>
      <c r="M38" s="131">
        <f t="shared" si="25"/>
        <v>0</v>
      </c>
      <c r="N38" s="129">
        <f>SUM(H38:M38)</f>
        <v>135</v>
      </c>
      <c r="O38" s="333">
        <v>11</v>
      </c>
      <c r="P38" s="341">
        <v>14</v>
      </c>
      <c r="Q38" s="341">
        <v>10</v>
      </c>
      <c r="R38" s="341">
        <v>5</v>
      </c>
      <c r="S38" s="341">
        <v>4</v>
      </c>
      <c r="T38" s="342">
        <v>0</v>
      </c>
      <c r="U38" s="129">
        <f t="shared" si="4"/>
        <v>44</v>
      </c>
      <c r="V38" s="341">
        <v>16</v>
      </c>
      <c r="W38" s="341">
        <v>18</v>
      </c>
      <c r="X38" s="341">
        <v>27</v>
      </c>
      <c r="Y38" s="341">
        <v>19</v>
      </c>
      <c r="Z38" s="341">
        <v>11</v>
      </c>
      <c r="AA38" s="333">
        <v>0</v>
      </c>
      <c r="AB38" s="119">
        <f t="shared" si="7"/>
        <v>91</v>
      </c>
      <c r="AD38" s="7">
        <f t="shared" si="1"/>
      </c>
      <c r="AE38" s="7">
        <f t="shared" si="2"/>
      </c>
      <c r="AF38" s="7"/>
    </row>
    <row r="39" spans="1:32" ht="18" customHeight="1" thickBot="1">
      <c r="A39" s="447"/>
      <c r="B39" s="651"/>
      <c r="C39" s="635" t="s">
        <v>67</v>
      </c>
      <c r="D39" s="636"/>
      <c r="E39" s="431">
        <f>U39</f>
        <v>255</v>
      </c>
      <c r="F39" s="437">
        <f>AB39</f>
        <v>638</v>
      </c>
      <c r="G39" s="129">
        <f>E39+F39</f>
        <v>893</v>
      </c>
      <c r="H39" s="118">
        <f t="shared" si="25"/>
        <v>193</v>
      </c>
      <c r="I39" s="149">
        <f t="shared" si="25"/>
        <v>225</v>
      </c>
      <c r="J39" s="118">
        <f t="shared" si="25"/>
        <v>226</v>
      </c>
      <c r="K39" s="149">
        <f t="shared" si="25"/>
        <v>173</v>
      </c>
      <c r="L39" s="118">
        <f t="shared" si="25"/>
        <v>76</v>
      </c>
      <c r="M39" s="149">
        <f t="shared" si="25"/>
        <v>0</v>
      </c>
      <c r="N39" s="119">
        <f>SUM(H39:M39)</f>
        <v>893</v>
      </c>
      <c r="O39" s="332">
        <v>81</v>
      </c>
      <c r="P39" s="335">
        <v>68</v>
      </c>
      <c r="Q39" s="335">
        <v>57</v>
      </c>
      <c r="R39" s="335">
        <v>36</v>
      </c>
      <c r="S39" s="335">
        <v>13</v>
      </c>
      <c r="T39" s="340">
        <v>0</v>
      </c>
      <c r="U39" s="119">
        <f t="shared" si="4"/>
        <v>255</v>
      </c>
      <c r="V39" s="335">
        <v>112</v>
      </c>
      <c r="W39" s="335">
        <v>157</v>
      </c>
      <c r="X39" s="335">
        <v>169</v>
      </c>
      <c r="Y39" s="335">
        <v>137</v>
      </c>
      <c r="Z39" s="335">
        <v>63</v>
      </c>
      <c r="AA39" s="332">
        <v>0</v>
      </c>
      <c r="AB39" s="119">
        <f t="shared" si="7"/>
        <v>638</v>
      </c>
      <c r="AD39" s="7">
        <f t="shared" si="1"/>
      </c>
      <c r="AE39" s="7">
        <f t="shared" si="2"/>
      </c>
      <c r="AF39" s="7">
        <f aca="true" t="shared" si="26" ref="AF39:AF55">IF(G39=N39,"","ｴﾗｰ")</f>
      </c>
    </row>
    <row r="40" spans="1:32" ht="18" customHeight="1" thickBot="1" thickTop="1">
      <c r="A40" s="7"/>
      <c r="B40" s="652"/>
      <c r="C40" s="637" t="s">
        <v>7</v>
      </c>
      <c r="D40" s="638"/>
      <c r="E40" s="424">
        <f>SUM(E35:E39)</f>
        <v>822</v>
      </c>
      <c r="F40" s="425">
        <f aca="true" t="shared" si="27" ref="F40:AB40">SUM(F35:F39)</f>
        <v>2079</v>
      </c>
      <c r="G40" s="122">
        <f t="shared" si="27"/>
        <v>2901</v>
      </c>
      <c r="H40" s="123">
        <f t="shared" si="27"/>
        <v>644</v>
      </c>
      <c r="I40" s="123">
        <f t="shared" si="27"/>
        <v>730</v>
      </c>
      <c r="J40" s="123">
        <f t="shared" si="27"/>
        <v>737</v>
      </c>
      <c r="K40" s="123">
        <f t="shared" si="27"/>
        <v>544</v>
      </c>
      <c r="L40" s="123">
        <f t="shared" si="27"/>
        <v>246</v>
      </c>
      <c r="M40" s="124">
        <f t="shared" si="27"/>
        <v>0</v>
      </c>
      <c r="N40" s="122">
        <f t="shared" si="27"/>
        <v>2901</v>
      </c>
      <c r="O40" s="123">
        <f t="shared" si="27"/>
        <v>263</v>
      </c>
      <c r="P40" s="123">
        <f t="shared" si="27"/>
        <v>212</v>
      </c>
      <c r="Q40" s="123">
        <f t="shared" si="27"/>
        <v>171</v>
      </c>
      <c r="R40" s="123">
        <f t="shared" si="27"/>
        <v>127</v>
      </c>
      <c r="S40" s="123">
        <f t="shared" si="27"/>
        <v>49</v>
      </c>
      <c r="T40" s="124">
        <f t="shared" si="27"/>
        <v>0</v>
      </c>
      <c r="U40" s="145">
        <f t="shared" si="27"/>
        <v>822</v>
      </c>
      <c r="V40" s="146">
        <f t="shared" si="27"/>
        <v>381</v>
      </c>
      <c r="W40" s="146">
        <f t="shared" si="27"/>
        <v>518</v>
      </c>
      <c r="X40" s="146">
        <f t="shared" si="27"/>
        <v>566</v>
      </c>
      <c r="Y40" s="146">
        <f t="shared" si="27"/>
        <v>417</v>
      </c>
      <c r="Z40" s="146">
        <f t="shared" si="27"/>
        <v>197</v>
      </c>
      <c r="AA40" s="146">
        <f t="shared" si="27"/>
        <v>0</v>
      </c>
      <c r="AB40" s="145">
        <f t="shared" si="27"/>
        <v>2079</v>
      </c>
      <c r="AD40" s="7">
        <f t="shared" si="1"/>
      </c>
      <c r="AE40" s="7">
        <f t="shared" si="2"/>
      </c>
      <c r="AF40" s="7">
        <f t="shared" si="26"/>
      </c>
    </row>
    <row r="41" spans="1:32" ht="18" customHeight="1" thickBot="1">
      <c r="A41" s="447"/>
      <c r="B41" s="646" t="s">
        <v>49</v>
      </c>
      <c r="C41" s="639" t="s">
        <v>31</v>
      </c>
      <c r="D41" s="640"/>
      <c r="E41" s="435">
        <f>U41</f>
        <v>1412</v>
      </c>
      <c r="F41" s="436">
        <f>AB41</f>
        <v>3140</v>
      </c>
      <c r="G41" s="126">
        <f>E41+F41</f>
        <v>4552</v>
      </c>
      <c r="H41" s="117">
        <f aca="true" t="shared" si="28" ref="H41:M41">O41+V41</f>
        <v>1434</v>
      </c>
      <c r="I41" s="127">
        <f t="shared" si="28"/>
        <v>1283</v>
      </c>
      <c r="J41" s="117">
        <f t="shared" si="28"/>
        <v>986</v>
      </c>
      <c r="K41" s="117">
        <f t="shared" si="28"/>
        <v>618</v>
      </c>
      <c r="L41" s="117">
        <f t="shared" si="28"/>
        <v>231</v>
      </c>
      <c r="M41" s="127">
        <f t="shared" si="28"/>
        <v>0</v>
      </c>
      <c r="N41" s="126">
        <f>SUM(H41:M41)</f>
        <v>4552</v>
      </c>
      <c r="O41" s="331">
        <v>598</v>
      </c>
      <c r="P41" s="329">
        <v>401</v>
      </c>
      <c r="Q41" s="329">
        <v>232</v>
      </c>
      <c r="R41" s="329">
        <v>127</v>
      </c>
      <c r="S41" s="329">
        <v>54</v>
      </c>
      <c r="T41" s="337">
        <v>0</v>
      </c>
      <c r="U41" s="150">
        <f t="shared" si="4"/>
        <v>1412</v>
      </c>
      <c r="V41" s="329">
        <v>836</v>
      </c>
      <c r="W41" s="329">
        <v>882</v>
      </c>
      <c r="X41" s="329">
        <v>754</v>
      </c>
      <c r="Y41" s="329">
        <v>491</v>
      </c>
      <c r="Z41" s="329">
        <v>177</v>
      </c>
      <c r="AA41" s="331">
        <v>0</v>
      </c>
      <c r="AB41" s="116">
        <f t="shared" si="7"/>
        <v>3140</v>
      </c>
      <c r="AD41" s="7">
        <f t="shared" si="1"/>
      </c>
      <c r="AE41" s="7">
        <f t="shared" si="2"/>
      </c>
      <c r="AF41" s="7">
        <f t="shared" si="26"/>
      </c>
    </row>
    <row r="42" spans="1:32" ht="18" customHeight="1" thickBot="1" thickTop="1">
      <c r="A42" s="7"/>
      <c r="B42" s="648"/>
      <c r="C42" s="627" t="s">
        <v>7</v>
      </c>
      <c r="D42" s="628"/>
      <c r="E42" s="424">
        <f>E41</f>
        <v>1412</v>
      </c>
      <c r="F42" s="425">
        <f aca="true" t="shared" si="29" ref="F42:AB42">SUM(F41:F41)</f>
        <v>3140</v>
      </c>
      <c r="G42" s="122">
        <f t="shared" si="29"/>
        <v>4552</v>
      </c>
      <c r="H42" s="123">
        <f t="shared" si="29"/>
        <v>1434</v>
      </c>
      <c r="I42" s="123">
        <f t="shared" si="29"/>
        <v>1283</v>
      </c>
      <c r="J42" s="123">
        <f t="shared" si="29"/>
        <v>986</v>
      </c>
      <c r="K42" s="123">
        <f t="shared" si="29"/>
        <v>618</v>
      </c>
      <c r="L42" s="123">
        <f t="shared" si="29"/>
        <v>231</v>
      </c>
      <c r="M42" s="124">
        <f t="shared" si="29"/>
        <v>0</v>
      </c>
      <c r="N42" s="122">
        <f t="shared" si="29"/>
        <v>4552</v>
      </c>
      <c r="O42" s="123">
        <f t="shared" si="29"/>
        <v>598</v>
      </c>
      <c r="P42" s="123">
        <f t="shared" si="29"/>
        <v>401</v>
      </c>
      <c r="Q42" s="123">
        <f t="shared" si="29"/>
        <v>232</v>
      </c>
      <c r="R42" s="123">
        <f t="shared" si="29"/>
        <v>127</v>
      </c>
      <c r="S42" s="123">
        <f t="shared" si="29"/>
        <v>54</v>
      </c>
      <c r="T42" s="124">
        <f t="shared" si="29"/>
        <v>0</v>
      </c>
      <c r="U42" s="136">
        <f t="shared" si="29"/>
        <v>1412</v>
      </c>
      <c r="V42" s="123">
        <f t="shared" si="29"/>
        <v>836</v>
      </c>
      <c r="W42" s="123">
        <f t="shared" si="29"/>
        <v>882</v>
      </c>
      <c r="X42" s="123">
        <f t="shared" si="29"/>
        <v>754</v>
      </c>
      <c r="Y42" s="123">
        <f t="shared" si="29"/>
        <v>491</v>
      </c>
      <c r="Z42" s="121">
        <f t="shared" si="29"/>
        <v>177</v>
      </c>
      <c r="AA42" s="124">
        <f t="shared" si="29"/>
        <v>0</v>
      </c>
      <c r="AB42" s="122">
        <f t="shared" si="29"/>
        <v>3140</v>
      </c>
      <c r="AD42" s="7">
        <f t="shared" si="1"/>
      </c>
      <c r="AE42" s="7">
        <f t="shared" si="2"/>
      </c>
      <c r="AF42" s="7">
        <f t="shared" si="26"/>
      </c>
    </row>
    <row r="43" spans="1:32" ht="18" customHeight="1">
      <c r="A43" s="447"/>
      <c r="B43" s="646" t="s">
        <v>48</v>
      </c>
      <c r="C43" s="629" t="s">
        <v>30</v>
      </c>
      <c r="D43" s="630"/>
      <c r="E43" s="435">
        <f>U43</f>
        <v>1142</v>
      </c>
      <c r="F43" s="436">
        <f>AB43</f>
        <v>3372</v>
      </c>
      <c r="G43" s="126">
        <f>E43+F43</f>
        <v>4514</v>
      </c>
      <c r="H43" s="117">
        <f aca="true" t="shared" si="30" ref="H43:M44">O43+V43</f>
        <v>1169</v>
      </c>
      <c r="I43" s="127">
        <f t="shared" si="30"/>
        <v>1188</v>
      </c>
      <c r="J43" s="117">
        <f t="shared" si="30"/>
        <v>1110</v>
      </c>
      <c r="K43" s="127">
        <f t="shared" si="30"/>
        <v>751</v>
      </c>
      <c r="L43" s="117">
        <f t="shared" si="30"/>
        <v>296</v>
      </c>
      <c r="M43" s="127">
        <f t="shared" si="30"/>
        <v>0</v>
      </c>
      <c r="N43" s="126">
        <f>SUM(H43:M43)</f>
        <v>4514</v>
      </c>
      <c r="O43" s="328">
        <v>418</v>
      </c>
      <c r="P43" s="327">
        <v>286</v>
      </c>
      <c r="Q43" s="327">
        <v>228</v>
      </c>
      <c r="R43" s="327">
        <v>151</v>
      </c>
      <c r="S43" s="327">
        <v>59</v>
      </c>
      <c r="T43" s="328">
        <v>0</v>
      </c>
      <c r="U43" s="119">
        <f t="shared" si="4"/>
        <v>1142</v>
      </c>
      <c r="V43" s="327">
        <v>751</v>
      </c>
      <c r="W43" s="327">
        <v>902</v>
      </c>
      <c r="X43" s="327">
        <v>882</v>
      </c>
      <c r="Y43" s="327">
        <v>600</v>
      </c>
      <c r="Z43" s="327">
        <v>237</v>
      </c>
      <c r="AA43" s="328">
        <v>0</v>
      </c>
      <c r="AB43" s="119">
        <f t="shared" si="7"/>
        <v>3372</v>
      </c>
      <c r="AD43" s="7">
        <f t="shared" si="1"/>
      </c>
      <c r="AE43" s="7">
        <f t="shared" si="2"/>
      </c>
      <c r="AF43" s="7">
        <f t="shared" si="26"/>
      </c>
    </row>
    <row r="44" spans="1:32" ht="18" customHeight="1" thickBot="1">
      <c r="A44" s="447"/>
      <c r="B44" s="647"/>
      <c r="C44" s="633" t="s">
        <v>68</v>
      </c>
      <c r="D44" s="634"/>
      <c r="E44" s="440">
        <f>U44</f>
        <v>397</v>
      </c>
      <c r="F44" s="441">
        <f>AB44</f>
        <v>926</v>
      </c>
      <c r="G44" s="129">
        <f>E44+F44</f>
        <v>1323</v>
      </c>
      <c r="H44" s="133">
        <f t="shared" si="30"/>
        <v>378</v>
      </c>
      <c r="I44" s="134">
        <f t="shared" si="30"/>
        <v>335</v>
      </c>
      <c r="J44" s="133">
        <f t="shared" si="30"/>
        <v>317</v>
      </c>
      <c r="K44" s="134">
        <f t="shared" si="30"/>
        <v>205</v>
      </c>
      <c r="L44" s="133">
        <f t="shared" si="30"/>
        <v>88</v>
      </c>
      <c r="M44" s="134">
        <f t="shared" si="30"/>
        <v>0</v>
      </c>
      <c r="N44" s="132">
        <f>SUM(H44:M44)</f>
        <v>1323</v>
      </c>
      <c r="O44" s="333">
        <v>145</v>
      </c>
      <c r="P44" s="341">
        <v>101</v>
      </c>
      <c r="Q44" s="341">
        <v>93</v>
      </c>
      <c r="R44" s="341">
        <v>43</v>
      </c>
      <c r="S44" s="341">
        <v>15</v>
      </c>
      <c r="T44" s="333">
        <v>0</v>
      </c>
      <c r="U44" s="119">
        <f t="shared" si="4"/>
        <v>397</v>
      </c>
      <c r="V44" s="341">
        <v>233</v>
      </c>
      <c r="W44" s="341">
        <v>234</v>
      </c>
      <c r="X44" s="341">
        <v>224</v>
      </c>
      <c r="Y44" s="341">
        <v>162</v>
      </c>
      <c r="Z44" s="341">
        <v>73</v>
      </c>
      <c r="AA44" s="333">
        <v>0</v>
      </c>
      <c r="AB44" s="119">
        <f t="shared" si="7"/>
        <v>926</v>
      </c>
      <c r="AD44" s="7">
        <f t="shared" si="1"/>
      </c>
      <c r="AE44" s="7">
        <f t="shared" si="2"/>
      </c>
      <c r="AF44" s="7">
        <f t="shared" si="26"/>
      </c>
    </row>
    <row r="45" spans="2:32" s="7" customFormat="1" ht="18" customHeight="1" thickBot="1" thickTop="1">
      <c r="B45" s="648"/>
      <c r="C45" s="627" t="s">
        <v>7</v>
      </c>
      <c r="D45" s="628"/>
      <c r="E45" s="424">
        <f aca="true" t="shared" si="31" ref="E45:AB45">SUM(E43:E44)</f>
        <v>1539</v>
      </c>
      <c r="F45" s="425">
        <f t="shared" si="31"/>
        <v>4298</v>
      </c>
      <c r="G45" s="122">
        <f t="shared" si="31"/>
        <v>5837</v>
      </c>
      <c r="H45" s="123">
        <f t="shared" si="31"/>
        <v>1547</v>
      </c>
      <c r="I45" s="123">
        <f t="shared" si="31"/>
        <v>1523</v>
      </c>
      <c r="J45" s="123">
        <f t="shared" si="31"/>
        <v>1427</v>
      </c>
      <c r="K45" s="123">
        <f t="shared" si="31"/>
        <v>956</v>
      </c>
      <c r="L45" s="123">
        <f t="shared" si="31"/>
        <v>384</v>
      </c>
      <c r="M45" s="124">
        <f t="shared" si="31"/>
        <v>0</v>
      </c>
      <c r="N45" s="122">
        <f t="shared" si="31"/>
        <v>5837</v>
      </c>
      <c r="O45" s="123">
        <f t="shared" si="31"/>
        <v>563</v>
      </c>
      <c r="P45" s="123">
        <f t="shared" si="31"/>
        <v>387</v>
      </c>
      <c r="Q45" s="123">
        <f t="shared" si="31"/>
        <v>321</v>
      </c>
      <c r="R45" s="123">
        <f t="shared" si="31"/>
        <v>194</v>
      </c>
      <c r="S45" s="123">
        <f t="shared" si="31"/>
        <v>74</v>
      </c>
      <c r="T45" s="124">
        <f t="shared" si="31"/>
        <v>0</v>
      </c>
      <c r="U45" s="122">
        <f t="shared" si="31"/>
        <v>1539</v>
      </c>
      <c r="V45" s="125">
        <f t="shared" si="31"/>
        <v>984</v>
      </c>
      <c r="W45" s="125">
        <f t="shared" si="31"/>
        <v>1136</v>
      </c>
      <c r="X45" s="125">
        <f t="shared" si="31"/>
        <v>1106</v>
      </c>
      <c r="Y45" s="125">
        <f t="shared" si="31"/>
        <v>762</v>
      </c>
      <c r="Z45" s="125">
        <f t="shared" si="31"/>
        <v>310</v>
      </c>
      <c r="AA45" s="151">
        <f t="shared" si="31"/>
        <v>0</v>
      </c>
      <c r="AB45" s="122">
        <f t="shared" si="31"/>
        <v>4298</v>
      </c>
      <c r="AD45" s="7">
        <f t="shared" si="1"/>
      </c>
      <c r="AE45" s="7">
        <f t="shared" si="2"/>
      </c>
      <c r="AF45" s="7">
        <f t="shared" si="26"/>
      </c>
    </row>
    <row r="46" spans="1:32" ht="18" customHeight="1">
      <c r="A46" s="447"/>
      <c r="B46" s="655" t="s">
        <v>50</v>
      </c>
      <c r="C46" s="629" t="s">
        <v>32</v>
      </c>
      <c r="D46" s="630"/>
      <c r="E46" s="435">
        <f aca="true" t="shared" si="32" ref="E46:E51">U46</f>
        <v>520</v>
      </c>
      <c r="F46" s="436">
        <f aca="true" t="shared" si="33" ref="F46:F51">AB46</f>
        <v>1377</v>
      </c>
      <c r="G46" s="126">
        <f aca="true" t="shared" si="34" ref="G46:G51">E46+F46</f>
        <v>1897</v>
      </c>
      <c r="H46" s="117">
        <f aca="true" t="shared" si="35" ref="H46:M51">O46+V46</f>
        <v>545</v>
      </c>
      <c r="I46" s="127">
        <f t="shared" si="35"/>
        <v>469</v>
      </c>
      <c r="J46" s="117">
        <f t="shared" si="35"/>
        <v>465</v>
      </c>
      <c r="K46" s="127">
        <f t="shared" si="35"/>
        <v>300</v>
      </c>
      <c r="L46" s="117">
        <f t="shared" si="35"/>
        <v>118</v>
      </c>
      <c r="M46" s="127">
        <f t="shared" si="35"/>
        <v>0</v>
      </c>
      <c r="N46" s="126">
        <f aca="true" t="shared" si="36" ref="N46:N51">SUM(H46:M46)</f>
        <v>1897</v>
      </c>
      <c r="O46" s="331">
        <v>206</v>
      </c>
      <c r="P46" s="329">
        <v>116</v>
      </c>
      <c r="Q46" s="329">
        <v>104</v>
      </c>
      <c r="R46" s="329">
        <v>65</v>
      </c>
      <c r="S46" s="329">
        <v>29</v>
      </c>
      <c r="T46" s="337">
        <v>0</v>
      </c>
      <c r="U46" s="119">
        <f t="shared" si="4"/>
        <v>520</v>
      </c>
      <c r="V46" s="327">
        <v>339</v>
      </c>
      <c r="W46" s="327">
        <v>353</v>
      </c>
      <c r="X46" s="327">
        <v>361</v>
      </c>
      <c r="Y46" s="327">
        <v>235</v>
      </c>
      <c r="Z46" s="327">
        <v>89</v>
      </c>
      <c r="AA46" s="328">
        <v>0</v>
      </c>
      <c r="AB46" s="119">
        <f t="shared" si="7"/>
        <v>1377</v>
      </c>
      <c r="AD46" s="7">
        <f t="shared" si="1"/>
      </c>
      <c r="AE46" s="7">
        <f t="shared" si="2"/>
      </c>
      <c r="AF46" s="7">
        <f t="shared" si="26"/>
      </c>
    </row>
    <row r="47" spans="1:32" ht="18" customHeight="1">
      <c r="A47" s="447"/>
      <c r="B47" s="651"/>
      <c r="C47" s="631" t="s">
        <v>33</v>
      </c>
      <c r="D47" s="632"/>
      <c r="E47" s="431">
        <f t="shared" si="32"/>
        <v>77</v>
      </c>
      <c r="F47" s="437">
        <f t="shared" si="33"/>
        <v>170</v>
      </c>
      <c r="G47" s="129">
        <f t="shared" si="34"/>
        <v>247</v>
      </c>
      <c r="H47" s="130">
        <f t="shared" si="35"/>
        <v>90</v>
      </c>
      <c r="I47" s="131">
        <f t="shared" si="35"/>
        <v>70</v>
      </c>
      <c r="J47" s="130">
        <f t="shared" si="35"/>
        <v>44</v>
      </c>
      <c r="K47" s="131">
        <f t="shared" si="35"/>
        <v>29</v>
      </c>
      <c r="L47" s="130">
        <f t="shared" si="35"/>
        <v>14</v>
      </c>
      <c r="M47" s="131">
        <f t="shared" si="35"/>
        <v>0</v>
      </c>
      <c r="N47" s="129">
        <f t="shared" si="36"/>
        <v>247</v>
      </c>
      <c r="O47" s="332">
        <v>32</v>
      </c>
      <c r="P47" s="335">
        <v>21</v>
      </c>
      <c r="Q47" s="335">
        <v>12</v>
      </c>
      <c r="R47" s="335">
        <v>8</v>
      </c>
      <c r="S47" s="335">
        <v>4</v>
      </c>
      <c r="T47" s="340">
        <v>0</v>
      </c>
      <c r="U47" s="119">
        <f t="shared" si="4"/>
        <v>77</v>
      </c>
      <c r="V47" s="335">
        <v>58</v>
      </c>
      <c r="W47" s="335">
        <v>49</v>
      </c>
      <c r="X47" s="335">
        <v>32</v>
      </c>
      <c r="Y47" s="335">
        <v>21</v>
      </c>
      <c r="Z47" s="335">
        <v>10</v>
      </c>
      <c r="AA47" s="332">
        <v>0</v>
      </c>
      <c r="AB47" s="119">
        <f t="shared" si="7"/>
        <v>170</v>
      </c>
      <c r="AD47" s="7">
        <f t="shared" si="1"/>
      </c>
      <c r="AE47" s="7">
        <f t="shared" si="2"/>
      </c>
      <c r="AF47" s="7">
        <f t="shared" si="26"/>
      </c>
    </row>
    <row r="48" spans="1:32" s="7" customFormat="1" ht="18" customHeight="1">
      <c r="A48" s="447"/>
      <c r="B48" s="651"/>
      <c r="C48" s="631" t="s">
        <v>34</v>
      </c>
      <c r="D48" s="632"/>
      <c r="E48" s="431">
        <f t="shared" si="32"/>
        <v>85</v>
      </c>
      <c r="F48" s="437">
        <f t="shared" si="33"/>
        <v>144</v>
      </c>
      <c r="G48" s="129">
        <f t="shared" si="34"/>
        <v>229</v>
      </c>
      <c r="H48" s="130">
        <f t="shared" si="35"/>
        <v>79</v>
      </c>
      <c r="I48" s="131">
        <f t="shared" si="35"/>
        <v>56</v>
      </c>
      <c r="J48" s="130">
        <f t="shared" si="35"/>
        <v>50</v>
      </c>
      <c r="K48" s="131">
        <f t="shared" si="35"/>
        <v>32</v>
      </c>
      <c r="L48" s="130">
        <f t="shared" si="35"/>
        <v>12</v>
      </c>
      <c r="M48" s="131">
        <f t="shared" si="35"/>
        <v>0</v>
      </c>
      <c r="N48" s="129">
        <f t="shared" si="36"/>
        <v>229</v>
      </c>
      <c r="O48" s="332">
        <v>40</v>
      </c>
      <c r="P48" s="335">
        <v>17</v>
      </c>
      <c r="Q48" s="335">
        <v>13</v>
      </c>
      <c r="R48" s="335">
        <v>6</v>
      </c>
      <c r="S48" s="335">
        <v>9</v>
      </c>
      <c r="T48" s="340">
        <v>0</v>
      </c>
      <c r="U48" s="119">
        <f t="shared" si="4"/>
        <v>85</v>
      </c>
      <c r="V48" s="335">
        <v>39</v>
      </c>
      <c r="W48" s="335">
        <v>39</v>
      </c>
      <c r="X48" s="335">
        <v>37</v>
      </c>
      <c r="Y48" s="335">
        <v>26</v>
      </c>
      <c r="Z48" s="335">
        <v>3</v>
      </c>
      <c r="AA48" s="332">
        <v>0</v>
      </c>
      <c r="AB48" s="119">
        <f t="shared" si="7"/>
        <v>144</v>
      </c>
      <c r="AD48" s="7">
        <f t="shared" si="1"/>
      </c>
      <c r="AE48" s="7">
        <f t="shared" si="2"/>
      </c>
      <c r="AF48" s="7">
        <f t="shared" si="26"/>
      </c>
    </row>
    <row r="49" spans="1:32" ht="18" customHeight="1">
      <c r="A49" s="447"/>
      <c r="B49" s="651"/>
      <c r="C49" s="631" t="s">
        <v>35</v>
      </c>
      <c r="D49" s="632"/>
      <c r="E49" s="431">
        <f t="shared" si="32"/>
        <v>79</v>
      </c>
      <c r="F49" s="437">
        <f t="shared" si="33"/>
        <v>167</v>
      </c>
      <c r="G49" s="129">
        <f t="shared" si="34"/>
        <v>246</v>
      </c>
      <c r="H49" s="130">
        <f t="shared" si="35"/>
        <v>66</v>
      </c>
      <c r="I49" s="131">
        <f t="shared" si="35"/>
        <v>56</v>
      </c>
      <c r="J49" s="130">
        <f t="shared" si="35"/>
        <v>67</v>
      </c>
      <c r="K49" s="131">
        <f t="shared" si="35"/>
        <v>39</v>
      </c>
      <c r="L49" s="130">
        <f t="shared" si="35"/>
        <v>18</v>
      </c>
      <c r="M49" s="131">
        <f t="shared" si="35"/>
        <v>0</v>
      </c>
      <c r="N49" s="129">
        <f t="shared" si="36"/>
        <v>246</v>
      </c>
      <c r="O49" s="332">
        <v>27</v>
      </c>
      <c r="P49" s="335">
        <v>23</v>
      </c>
      <c r="Q49" s="335">
        <v>16</v>
      </c>
      <c r="R49" s="335">
        <v>9</v>
      </c>
      <c r="S49" s="335">
        <v>4</v>
      </c>
      <c r="T49" s="340">
        <v>0</v>
      </c>
      <c r="U49" s="148">
        <f t="shared" si="4"/>
        <v>79</v>
      </c>
      <c r="V49" s="613">
        <v>39</v>
      </c>
      <c r="W49" s="335">
        <v>33</v>
      </c>
      <c r="X49" s="335">
        <v>51</v>
      </c>
      <c r="Y49" s="335">
        <v>30</v>
      </c>
      <c r="Z49" s="335">
        <v>14</v>
      </c>
      <c r="AA49" s="332">
        <v>0</v>
      </c>
      <c r="AB49" s="119">
        <f t="shared" si="7"/>
        <v>167</v>
      </c>
      <c r="AD49" s="7">
        <f t="shared" si="1"/>
      </c>
      <c r="AE49" s="7">
        <f t="shared" si="2"/>
      </c>
      <c r="AF49" s="7">
        <f t="shared" si="26"/>
      </c>
    </row>
    <row r="50" spans="1:32" ht="18" customHeight="1">
      <c r="A50" s="447"/>
      <c r="B50" s="651"/>
      <c r="C50" s="631" t="s">
        <v>36</v>
      </c>
      <c r="D50" s="632"/>
      <c r="E50" s="431">
        <f t="shared" si="32"/>
        <v>271</v>
      </c>
      <c r="F50" s="437">
        <f t="shared" si="33"/>
        <v>536</v>
      </c>
      <c r="G50" s="129">
        <f t="shared" si="34"/>
        <v>807</v>
      </c>
      <c r="H50" s="130">
        <f t="shared" si="35"/>
        <v>289</v>
      </c>
      <c r="I50" s="131">
        <f t="shared" si="35"/>
        <v>246</v>
      </c>
      <c r="J50" s="130">
        <f t="shared" si="35"/>
        <v>144</v>
      </c>
      <c r="K50" s="131">
        <f t="shared" si="35"/>
        <v>95</v>
      </c>
      <c r="L50" s="130">
        <f t="shared" si="35"/>
        <v>33</v>
      </c>
      <c r="M50" s="131">
        <f t="shared" si="35"/>
        <v>0</v>
      </c>
      <c r="N50" s="129">
        <f t="shared" si="36"/>
        <v>807</v>
      </c>
      <c r="O50" s="332">
        <v>128</v>
      </c>
      <c r="P50" s="335">
        <v>89</v>
      </c>
      <c r="Q50" s="335">
        <v>33</v>
      </c>
      <c r="R50" s="335">
        <v>13</v>
      </c>
      <c r="S50" s="335">
        <v>8</v>
      </c>
      <c r="T50" s="340">
        <v>0</v>
      </c>
      <c r="U50" s="148">
        <f t="shared" si="4"/>
        <v>271</v>
      </c>
      <c r="V50" s="613">
        <v>161</v>
      </c>
      <c r="W50" s="335">
        <v>157</v>
      </c>
      <c r="X50" s="335">
        <v>111</v>
      </c>
      <c r="Y50" s="335">
        <v>82</v>
      </c>
      <c r="Z50" s="335">
        <v>25</v>
      </c>
      <c r="AA50" s="332">
        <v>0</v>
      </c>
      <c r="AB50" s="119">
        <f t="shared" si="7"/>
        <v>536</v>
      </c>
      <c r="AD50" s="7">
        <f t="shared" si="1"/>
      </c>
      <c r="AE50" s="7">
        <f t="shared" si="2"/>
      </c>
      <c r="AF50" s="7">
        <f t="shared" si="26"/>
      </c>
    </row>
    <row r="51" spans="1:32" ht="18" customHeight="1" thickBot="1">
      <c r="A51" s="447"/>
      <c r="B51" s="651"/>
      <c r="C51" s="633" t="s">
        <v>37</v>
      </c>
      <c r="D51" s="634"/>
      <c r="E51" s="440">
        <f t="shared" si="32"/>
        <v>158</v>
      </c>
      <c r="F51" s="441">
        <f t="shared" si="33"/>
        <v>333</v>
      </c>
      <c r="G51" s="129">
        <f t="shared" si="34"/>
        <v>491</v>
      </c>
      <c r="H51" s="133">
        <f t="shared" si="35"/>
        <v>145</v>
      </c>
      <c r="I51" s="134">
        <f t="shared" si="35"/>
        <v>124</v>
      </c>
      <c r="J51" s="133">
        <f t="shared" si="35"/>
        <v>116</v>
      </c>
      <c r="K51" s="134">
        <f t="shared" si="35"/>
        <v>73</v>
      </c>
      <c r="L51" s="133">
        <f t="shared" si="35"/>
        <v>33</v>
      </c>
      <c r="M51" s="134">
        <f t="shared" si="35"/>
        <v>0</v>
      </c>
      <c r="N51" s="132">
        <f t="shared" si="36"/>
        <v>491</v>
      </c>
      <c r="O51" s="333">
        <v>60</v>
      </c>
      <c r="P51" s="336">
        <v>38</v>
      </c>
      <c r="Q51" s="336">
        <v>39</v>
      </c>
      <c r="R51" s="336">
        <v>12</v>
      </c>
      <c r="S51" s="336">
        <v>9</v>
      </c>
      <c r="T51" s="338">
        <v>0</v>
      </c>
      <c r="U51" s="612">
        <f t="shared" si="4"/>
        <v>158</v>
      </c>
      <c r="V51" s="614">
        <v>85</v>
      </c>
      <c r="W51" s="336">
        <v>86</v>
      </c>
      <c r="X51" s="336">
        <v>77</v>
      </c>
      <c r="Y51" s="336">
        <v>61</v>
      </c>
      <c r="Z51" s="336">
        <v>24</v>
      </c>
      <c r="AA51" s="334">
        <v>0</v>
      </c>
      <c r="AB51" s="132">
        <f t="shared" si="7"/>
        <v>333</v>
      </c>
      <c r="AD51" s="7">
        <f t="shared" si="1"/>
      </c>
      <c r="AE51" s="7">
        <f t="shared" si="2"/>
      </c>
      <c r="AF51" s="7">
        <f t="shared" si="26"/>
      </c>
    </row>
    <row r="52" spans="1:32" ht="18" customHeight="1" thickBot="1" thickTop="1">
      <c r="A52" s="7"/>
      <c r="B52" s="652"/>
      <c r="C52" s="627" t="s">
        <v>7</v>
      </c>
      <c r="D52" s="628"/>
      <c r="E52" s="424">
        <f>SUM(E46:E51)</f>
        <v>1190</v>
      </c>
      <c r="F52" s="425">
        <f>SUM(F46:F51)</f>
        <v>2727</v>
      </c>
      <c r="G52" s="122">
        <f>SUM(G46:G51)</f>
        <v>3917</v>
      </c>
      <c r="H52" s="123">
        <f aca="true" t="shared" si="37" ref="H52:M52">SUM(H46:H51)</f>
        <v>1214</v>
      </c>
      <c r="I52" s="123">
        <f t="shared" si="37"/>
        <v>1021</v>
      </c>
      <c r="J52" s="123">
        <f t="shared" si="37"/>
        <v>886</v>
      </c>
      <c r="K52" s="123">
        <f t="shared" si="37"/>
        <v>568</v>
      </c>
      <c r="L52" s="123">
        <f t="shared" si="37"/>
        <v>228</v>
      </c>
      <c r="M52" s="124">
        <f t="shared" si="37"/>
        <v>0</v>
      </c>
      <c r="N52" s="122">
        <f>SUM(N46:N51)</f>
        <v>3917</v>
      </c>
      <c r="O52" s="123">
        <f aca="true" t="shared" si="38" ref="O52:T52">SUM(O46:O51)</f>
        <v>493</v>
      </c>
      <c r="P52" s="123">
        <f t="shared" si="38"/>
        <v>304</v>
      </c>
      <c r="Q52" s="123">
        <f t="shared" si="38"/>
        <v>217</v>
      </c>
      <c r="R52" s="123">
        <f t="shared" si="38"/>
        <v>113</v>
      </c>
      <c r="S52" s="123">
        <f t="shared" si="38"/>
        <v>63</v>
      </c>
      <c r="T52" s="124">
        <f t="shared" si="38"/>
        <v>0</v>
      </c>
      <c r="U52" s="120">
        <f>SUM(U46:U51)</f>
        <v>1190</v>
      </c>
      <c r="V52" s="615">
        <f aca="true" t="shared" si="39" ref="V52:AA52">SUM(V46:V51)</f>
        <v>721</v>
      </c>
      <c r="W52" s="125">
        <f t="shared" si="39"/>
        <v>717</v>
      </c>
      <c r="X52" s="125">
        <f t="shared" si="39"/>
        <v>669</v>
      </c>
      <c r="Y52" s="125">
        <f t="shared" si="39"/>
        <v>455</v>
      </c>
      <c r="Z52" s="125">
        <f t="shared" si="39"/>
        <v>165</v>
      </c>
      <c r="AA52" s="125">
        <f t="shared" si="39"/>
        <v>0</v>
      </c>
      <c r="AB52" s="122">
        <f>SUM(AB46:AB51)</f>
        <v>2727</v>
      </c>
      <c r="AD52" s="7">
        <f t="shared" si="1"/>
      </c>
      <c r="AE52" s="7">
        <f t="shared" si="2"/>
      </c>
      <c r="AF52" s="7">
        <f t="shared" si="26"/>
      </c>
    </row>
    <row r="53" spans="1:32" ht="18" customHeight="1">
      <c r="A53" s="7"/>
      <c r="B53" s="454" t="s">
        <v>38</v>
      </c>
      <c r="C53" s="473"/>
      <c r="D53" s="474"/>
      <c r="E53" s="429">
        <f aca="true" t="shared" si="40" ref="E53:AB53">SUM(E12,E8,E13,E16,E17,E19,E23,E35,E41,E43,E44,E46)</f>
        <v>12693</v>
      </c>
      <c r="F53" s="430">
        <f t="shared" si="40"/>
        <v>32803</v>
      </c>
      <c r="G53" s="148">
        <f t="shared" si="40"/>
        <v>45496</v>
      </c>
      <c r="H53" s="117">
        <f t="shared" si="40"/>
        <v>11794</v>
      </c>
      <c r="I53" s="117">
        <f t="shared" si="40"/>
        <v>11783</v>
      </c>
      <c r="J53" s="117">
        <f t="shared" si="40"/>
        <v>11198</v>
      </c>
      <c r="K53" s="117">
        <f t="shared" si="40"/>
        <v>7581</v>
      </c>
      <c r="L53" s="117">
        <f t="shared" si="40"/>
        <v>3140</v>
      </c>
      <c r="M53" s="149">
        <f t="shared" si="40"/>
        <v>0</v>
      </c>
      <c r="N53" s="126">
        <f t="shared" si="40"/>
        <v>45496</v>
      </c>
      <c r="O53" s="117">
        <f t="shared" si="40"/>
        <v>4568</v>
      </c>
      <c r="P53" s="117">
        <f t="shared" si="40"/>
        <v>3274</v>
      </c>
      <c r="Q53" s="117">
        <f t="shared" si="40"/>
        <v>2493</v>
      </c>
      <c r="R53" s="117">
        <f t="shared" si="40"/>
        <v>1651</v>
      </c>
      <c r="S53" s="117">
        <f t="shared" si="40"/>
        <v>707</v>
      </c>
      <c r="T53" s="149">
        <f t="shared" si="40"/>
        <v>0</v>
      </c>
      <c r="U53" s="148">
        <f t="shared" si="40"/>
        <v>12693</v>
      </c>
      <c r="V53" s="616">
        <f t="shared" si="40"/>
        <v>7226</v>
      </c>
      <c r="W53" s="117">
        <f t="shared" si="40"/>
        <v>8509</v>
      </c>
      <c r="X53" s="117">
        <f t="shared" si="40"/>
        <v>8705</v>
      </c>
      <c r="Y53" s="117">
        <f t="shared" si="40"/>
        <v>5930</v>
      </c>
      <c r="Z53" s="117">
        <f t="shared" si="40"/>
        <v>2433</v>
      </c>
      <c r="AA53" s="149">
        <f t="shared" si="40"/>
        <v>0</v>
      </c>
      <c r="AB53" s="119">
        <f t="shared" si="40"/>
        <v>32803</v>
      </c>
      <c r="AD53" s="7">
        <f t="shared" si="1"/>
      </c>
      <c r="AE53" s="7">
        <f t="shared" si="2"/>
      </c>
      <c r="AF53" s="7">
        <f t="shared" si="26"/>
      </c>
    </row>
    <row r="54" spans="1:32" ht="18" customHeight="1">
      <c r="A54" s="7"/>
      <c r="B54" s="448" t="s">
        <v>39</v>
      </c>
      <c r="C54" s="449"/>
      <c r="D54" s="450"/>
      <c r="E54" s="431">
        <f aca="true" t="shared" si="41" ref="E54:AB54">E9+E10+E14+E20+E21+E24+E25+E26+E28+E29+E30+E31+E32+E33+E36+E37+E38+E39+E47+E48+E49+E50+E51</f>
        <v>2404</v>
      </c>
      <c r="F54" s="432">
        <f t="shared" si="41"/>
        <v>5527</v>
      </c>
      <c r="G54" s="128">
        <f t="shared" si="41"/>
        <v>7931</v>
      </c>
      <c r="H54" s="130">
        <f t="shared" si="41"/>
        <v>1950</v>
      </c>
      <c r="I54" s="130">
        <f t="shared" si="41"/>
        <v>2031</v>
      </c>
      <c r="J54" s="130">
        <f t="shared" si="41"/>
        <v>1900</v>
      </c>
      <c r="K54" s="130">
        <f t="shared" si="41"/>
        <v>1416</v>
      </c>
      <c r="L54" s="130">
        <f t="shared" si="41"/>
        <v>632</v>
      </c>
      <c r="M54" s="142">
        <f t="shared" si="41"/>
        <v>2</v>
      </c>
      <c r="N54" s="129">
        <f t="shared" si="41"/>
        <v>7931</v>
      </c>
      <c r="O54" s="130">
        <f t="shared" si="41"/>
        <v>824</v>
      </c>
      <c r="P54" s="130">
        <f t="shared" si="41"/>
        <v>619</v>
      </c>
      <c r="Q54" s="130">
        <f t="shared" si="41"/>
        <v>470</v>
      </c>
      <c r="R54" s="130">
        <f t="shared" si="41"/>
        <v>338</v>
      </c>
      <c r="S54" s="130">
        <f t="shared" si="41"/>
        <v>151</v>
      </c>
      <c r="T54" s="131">
        <f t="shared" si="41"/>
        <v>2</v>
      </c>
      <c r="U54" s="128">
        <f t="shared" si="41"/>
        <v>2404</v>
      </c>
      <c r="V54" s="617">
        <f t="shared" si="41"/>
        <v>1126</v>
      </c>
      <c r="W54" s="130">
        <f t="shared" si="41"/>
        <v>1412</v>
      </c>
      <c r="X54" s="130">
        <f t="shared" si="41"/>
        <v>1430</v>
      </c>
      <c r="Y54" s="130">
        <f t="shared" si="41"/>
        <v>1078</v>
      </c>
      <c r="Z54" s="130">
        <f t="shared" si="41"/>
        <v>481</v>
      </c>
      <c r="AA54" s="131">
        <f t="shared" si="41"/>
        <v>0</v>
      </c>
      <c r="AB54" s="129">
        <f t="shared" si="41"/>
        <v>5527</v>
      </c>
      <c r="AD54" s="7">
        <f t="shared" si="1"/>
      </c>
      <c r="AE54" s="7">
        <f t="shared" si="2"/>
      </c>
      <c r="AF54" s="7">
        <f t="shared" si="26"/>
      </c>
    </row>
    <row r="55" spans="1:32" ht="18" customHeight="1" thickBot="1">
      <c r="A55" s="7"/>
      <c r="B55" s="451" t="s">
        <v>40</v>
      </c>
      <c r="C55" s="452"/>
      <c r="D55" s="453"/>
      <c r="E55" s="433">
        <f>SUM(E11,E15,E18,E22,E27,E34,E40,E42,E45,E52)</f>
        <v>15097</v>
      </c>
      <c r="F55" s="434">
        <f aca="true" t="shared" si="42" ref="F55:AB55">SUM(F11,F15,F18,F22,F27,F34,F40,F42,F45,F52)</f>
        <v>38330</v>
      </c>
      <c r="G55" s="152">
        <f t="shared" si="42"/>
        <v>53427</v>
      </c>
      <c r="H55" s="153">
        <f t="shared" si="42"/>
        <v>13744</v>
      </c>
      <c r="I55" s="153">
        <f t="shared" si="42"/>
        <v>13814</v>
      </c>
      <c r="J55" s="153">
        <f t="shared" si="42"/>
        <v>13098</v>
      </c>
      <c r="K55" s="153">
        <f t="shared" si="42"/>
        <v>8997</v>
      </c>
      <c r="L55" s="153">
        <f t="shared" si="42"/>
        <v>3772</v>
      </c>
      <c r="M55" s="154">
        <f t="shared" si="42"/>
        <v>2</v>
      </c>
      <c r="N55" s="155">
        <f t="shared" si="42"/>
        <v>53427</v>
      </c>
      <c r="O55" s="153">
        <f t="shared" si="42"/>
        <v>5392</v>
      </c>
      <c r="P55" s="153">
        <f t="shared" si="42"/>
        <v>3893</v>
      </c>
      <c r="Q55" s="153">
        <f t="shared" si="42"/>
        <v>2963</v>
      </c>
      <c r="R55" s="153">
        <f t="shared" si="42"/>
        <v>1989</v>
      </c>
      <c r="S55" s="153">
        <f t="shared" si="42"/>
        <v>858</v>
      </c>
      <c r="T55" s="154">
        <f t="shared" si="42"/>
        <v>2</v>
      </c>
      <c r="U55" s="152">
        <f t="shared" si="42"/>
        <v>15097</v>
      </c>
      <c r="V55" s="618">
        <f t="shared" si="42"/>
        <v>8352</v>
      </c>
      <c r="W55" s="153">
        <f t="shared" si="42"/>
        <v>9921</v>
      </c>
      <c r="X55" s="153">
        <f t="shared" si="42"/>
        <v>10135</v>
      </c>
      <c r="Y55" s="153">
        <f t="shared" si="42"/>
        <v>7008</v>
      </c>
      <c r="Z55" s="153">
        <f t="shared" si="42"/>
        <v>2914</v>
      </c>
      <c r="AA55" s="154">
        <f t="shared" si="42"/>
        <v>0</v>
      </c>
      <c r="AB55" s="155">
        <f t="shared" si="42"/>
        <v>38330</v>
      </c>
      <c r="AD55" s="7">
        <f t="shared" si="1"/>
      </c>
      <c r="AE55" s="7">
        <f t="shared" si="2"/>
      </c>
      <c r="AF55" s="7">
        <f t="shared" si="26"/>
      </c>
    </row>
    <row r="56" spans="2:28" ht="12" customHeight="1">
      <c r="B56" s="475"/>
      <c r="C56" s="475"/>
      <c r="D56" s="475"/>
      <c r="E56" s="444"/>
      <c r="F56" s="44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5:28" ht="30" customHeight="1" hidden="1">
      <c r="E57" s="445">
        <f>E53+E54</f>
        <v>15097</v>
      </c>
      <c r="F57" s="445">
        <f aca="true" t="shared" si="43" ref="F57:AB57">F53+F54</f>
        <v>38330</v>
      </c>
      <c r="G57" s="6">
        <f t="shared" si="43"/>
        <v>53427</v>
      </c>
      <c r="H57" s="6">
        <f t="shared" si="43"/>
        <v>13744</v>
      </c>
      <c r="I57" s="6">
        <f t="shared" si="43"/>
        <v>13814</v>
      </c>
      <c r="J57" s="6">
        <f t="shared" si="43"/>
        <v>13098</v>
      </c>
      <c r="K57" s="6">
        <f t="shared" si="43"/>
        <v>8997</v>
      </c>
      <c r="L57" s="6">
        <f t="shared" si="43"/>
        <v>3772</v>
      </c>
      <c r="M57" s="6">
        <f t="shared" si="43"/>
        <v>2</v>
      </c>
      <c r="N57" s="6">
        <f t="shared" si="43"/>
        <v>53427</v>
      </c>
      <c r="O57" s="8">
        <f t="shared" si="43"/>
        <v>5392</v>
      </c>
      <c r="P57" s="8">
        <f t="shared" si="43"/>
        <v>3893</v>
      </c>
      <c r="Q57" s="8">
        <f t="shared" si="43"/>
        <v>2963</v>
      </c>
      <c r="R57" s="8">
        <f t="shared" si="43"/>
        <v>1989</v>
      </c>
      <c r="S57" s="6">
        <f t="shared" si="43"/>
        <v>858</v>
      </c>
      <c r="T57" s="6">
        <f t="shared" si="43"/>
        <v>2</v>
      </c>
      <c r="U57" s="8">
        <f t="shared" si="43"/>
        <v>15097</v>
      </c>
      <c r="V57" s="8">
        <f t="shared" si="43"/>
        <v>8352</v>
      </c>
      <c r="W57" s="8">
        <f t="shared" si="43"/>
        <v>9921</v>
      </c>
      <c r="X57" s="8">
        <f t="shared" si="43"/>
        <v>10135</v>
      </c>
      <c r="Y57" s="8">
        <f t="shared" si="43"/>
        <v>7008</v>
      </c>
      <c r="Z57" s="8">
        <f t="shared" si="43"/>
        <v>2914</v>
      </c>
      <c r="AA57" s="6">
        <f t="shared" si="43"/>
        <v>0</v>
      </c>
      <c r="AB57" s="446">
        <f t="shared" si="43"/>
        <v>38330</v>
      </c>
    </row>
  </sheetData>
  <sheetProtection/>
  <mergeCells count="74">
    <mergeCell ref="B43:B45"/>
    <mergeCell ref="B41:B42"/>
    <mergeCell ref="C8:D8"/>
    <mergeCell ref="C9:D9"/>
    <mergeCell ref="C10:D10"/>
    <mergeCell ref="C13:D13"/>
    <mergeCell ref="C11:D11"/>
    <mergeCell ref="C27:D27"/>
    <mergeCell ref="C28:D28"/>
    <mergeCell ref="C14:D14"/>
    <mergeCell ref="L6:L7"/>
    <mergeCell ref="G5:G7"/>
    <mergeCell ref="C3:D7"/>
    <mergeCell ref="E3:N3"/>
    <mergeCell ref="M5:M7"/>
    <mergeCell ref="AB5:AB7"/>
    <mergeCell ref="Z6:Z7"/>
    <mergeCell ref="T5:T7"/>
    <mergeCell ref="U5:U7"/>
    <mergeCell ref="AA5:AA7"/>
    <mergeCell ref="B46:B52"/>
    <mergeCell ref="V3:AB4"/>
    <mergeCell ref="H4:N4"/>
    <mergeCell ref="B16:B18"/>
    <mergeCell ref="N5:N7"/>
    <mergeCell ref="C19:D19"/>
    <mergeCell ref="C20:D20"/>
    <mergeCell ref="B3:B7"/>
    <mergeCell ref="O3:U4"/>
    <mergeCell ref="S6:S7"/>
    <mergeCell ref="E4:G4"/>
    <mergeCell ref="B19:B22"/>
    <mergeCell ref="B23:B27"/>
    <mergeCell ref="B28:B34"/>
    <mergeCell ref="B35:B40"/>
    <mergeCell ref="C29:D29"/>
    <mergeCell ref="C30:D30"/>
    <mergeCell ref="E5:E7"/>
    <mergeCell ref="F5:F7"/>
    <mergeCell ref="C12:D12"/>
    <mergeCell ref="C15:D15"/>
    <mergeCell ref="C16:D16"/>
    <mergeCell ref="C17:D17"/>
    <mergeCell ref="C18:D18"/>
    <mergeCell ref="C21:D21"/>
    <mergeCell ref="C22:D22"/>
    <mergeCell ref="C23:D23"/>
    <mergeCell ref="C24:D24"/>
    <mergeCell ref="C25:D25"/>
    <mergeCell ref="C26:D26"/>
    <mergeCell ref="C31:D31"/>
    <mergeCell ref="C32:D32"/>
    <mergeCell ref="C33:D33"/>
    <mergeCell ref="C34:D34"/>
    <mergeCell ref="C37:D37"/>
    <mergeCell ref="C38:D38"/>
    <mergeCell ref="C35:D35"/>
    <mergeCell ref="C36:D36"/>
    <mergeCell ref="C39:D39"/>
    <mergeCell ref="C40:D40"/>
    <mergeCell ref="C41:D41"/>
    <mergeCell ref="C44:D44"/>
    <mergeCell ref="C42:D42"/>
    <mergeCell ref="C43:D43"/>
    <mergeCell ref="B12:B15"/>
    <mergeCell ref="B8:B11"/>
    <mergeCell ref="C45:D45"/>
    <mergeCell ref="C46:D46"/>
    <mergeCell ref="C47:D47"/>
    <mergeCell ref="C52:D52"/>
    <mergeCell ref="C48:D48"/>
    <mergeCell ref="C49:D49"/>
    <mergeCell ref="C50:D50"/>
    <mergeCell ref="C51:D51"/>
  </mergeCells>
  <printOptions horizontalCentered="1"/>
  <pageMargins left="0.2362204724409449" right="0.2362204724409449" top="0.7480314960629921" bottom="0.5511811023622047" header="0.31496062992125984" footer="0.11811023622047245"/>
  <pageSetup horizontalDpi="600" verticalDpi="600" orientation="portrait" paperSize="9" scale="80" r:id="rId1"/>
  <headerFooter alignWithMargins="0">
    <oddFooter>&amp;C&amp;"ＭＳ ゴシック,標準"&amp;12&amp;P</oddFooter>
  </headerFooter>
  <colBreaks count="1" manualBreakCount="1">
    <brk id="14" max="54" man="1"/>
  </colBreaks>
  <ignoredErrors>
    <ignoredError sqref="E11:F11 E52:F54 E18:F18 E22:F22 E27:F27 E34:F34 F40 F42 E45:F45" unlockedFormula="1"/>
    <ignoredError sqref="G18 G16 G52:G54 G47 G9 G8 N8 G11 G10 G13:G14 G17 G22 G19:G21 G27 G23:G26 G34 G28:G33 G40 G35:G39 G42 G41 G45 G43:G44 G48:G51 G46 H18:N18 H16:N16 H52:N54 H47:N47 H9:N9 H8:J8 H11:N11 H10:N10 H13:N14 H17:N17 H22:N22 H19:N21 H27:N27 H23:N26 H34:N34 H28:N33 H40:N40 H35:N39 H42:N42 H41:N41 H45:N45 H43:N44 H48:N51 H46:N46 O18:U18 O52:U54 O11:U11 O22:U22 O27:U27 O34:U34 O40:U40 O42:U42 O45:U45 V18:AB18 V52:AB54 V11:AB11 V22:AB22 V27:AB27 V34:AB34 V40:AB40 V42:AB42 V45:AB4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B1:AF62"/>
  <sheetViews>
    <sheetView zoomScaleSheetLayoutView="100" zoomScalePageLayoutView="0" workbookViewId="0" topLeftCell="A1">
      <pane xSplit="4" ySplit="9" topLeftCell="E33" activePane="bottomRight" state="frozen"/>
      <selection pane="topLeft" activeCell="I5" sqref="I5:I8"/>
      <selection pane="topRight" activeCell="I5" sqref="I5:I8"/>
      <selection pane="bottomLeft" activeCell="I5" sqref="I5:I8"/>
      <selection pane="bottomRight" activeCell="O1" sqref="O1:U16384"/>
    </sheetView>
  </sheetViews>
  <sheetFormatPr defaultColWidth="10.00390625" defaultRowHeight="15" customHeight="1"/>
  <cols>
    <col min="1" max="1" width="2.50390625" style="484" customWidth="1"/>
    <col min="2" max="2" width="9.50390625" style="494" customWidth="1"/>
    <col min="3" max="3" width="2.50390625" style="494" customWidth="1"/>
    <col min="4" max="4" width="8.00390625" style="482" customWidth="1"/>
    <col min="5" max="7" width="8.125" style="482" customWidth="1"/>
    <col min="8" max="8" width="8.00390625" style="482" customWidth="1"/>
    <col min="9" max="9" width="8.125" style="484" customWidth="1"/>
    <col min="10" max="10" width="8.125" style="567" customWidth="1"/>
    <col min="11" max="11" width="8.00390625" style="482" customWidth="1"/>
    <col min="12" max="12" width="8.125" style="484" customWidth="1"/>
    <col min="13" max="13" width="8.125" style="567" customWidth="1"/>
    <col min="14" max="14" width="9.375" style="484" customWidth="1"/>
    <col min="15" max="16" width="5.25390625" style="484" hidden="1" customWidth="1"/>
    <col min="17" max="17" width="7.875" style="573" hidden="1" customWidth="1"/>
    <col min="18" max="20" width="8.50390625" style="582" hidden="1" customWidth="1"/>
    <col min="21" max="21" width="10.625" style="583" hidden="1" customWidth="1"/>
    <col min="22" max="28" width="5.875" style="484" customWidth="1"/>
    <col min="29" max="16384" width="10.00390625" style="484" customWidth="1"/>
  </cols>
  <sheetData>
    <row r="1" spans="2:21" s="6" customFormat="1" ht="14.25" customHeight="1">
      <c r="B1" s="570" t="s">
        <v>104</v>
      </c>
      <c r="C1" s="568"/>
      <c r="D1" s="2"/>
      <c r="E1" s="2"/>
      <c r="F1" s="2"/>
      <c r="G1" s="2"/>
      <c r="H1" s="2"/>
      <c r="I1" s="3"/>
      <c r="J1" s="569"/>
      <c r="K1" s="2"/>
      <c r="L1" s="3"/>
      <c r="M1" s="569"/>
      <c r="N1" s="3"/>
      <c r="O1" s="3"/>
      <c r="P1" s="3"/>
      <c r="Q1" s="8"/>
      <c r="R1" s="580"/>
      <c r="S1" s="580"/>
      <c r="T1" s="580"/>
      <c r="U1" s="581"/>
    </row>
    <row r="2" spans="2:16" ht="15" customHeight="1" thickBot="1">
      <c r="B2" s="485"/>
      <c r="C2" s="485"/>
      <c r="D2" s="485"/>
      <c r="E2" s="486"/>
      <c r="F2" s="486"/>
      <c r="G2" s="486"/>
      <c r="H2" s="486"/>
      <c r="I2" s="487"/>
      <c r="J2" s="488"/>
      <c r="K2" s="486"/>
      <c r="L2" s="487"/>
      <c r="M2" s="488"/>
      <c r="N2" s="487"/>
      <c r="O2" s="487"/>
      <c r="P2" s="487"/>
    </row>
    <row r="3" spans="2:28" ht="11.25" customHeight="1">
      <c r="B3" s="731" t="s">
        <v>95</v>
      </c>
      <c r="C3" s="731" t="s">
        <v>42</v>
      </c>
      <c r="D3" s="733"/>
      <c r="E3" s="737" t="s">
        <v>53</v>
      </c>
      <c r="F3" s="738"/>
      <c r="G3" s="739"/>
      <c r="H3" s="737" t="s">
        <v>1</v>
      </c>
      <c r="I3" s="738"/>
      <c r="J3" s="739"/>
      <c r="K3" s="738" t="s">
        <v>2</v>
      </c>
      <c r="L3" s="740"/>
      <c r="M3" s="741"/>
      <c r="N3" s="486"/>
      <c r="O3" s="486"/>
      <c r="P3" s="486"/>
      <c r="Q3" s="574"/>
      <c r="R3" s="584"/>
      <c r="S3" s="584"/>
      <c r="T3" s="584"/>
      <c r="U3" s="585"/>
      <c r="V3" s="486"/>
      <c r="W3" s="486"/>
      <c r="X3" s="486"/>
      <c r="Y3" s="486"/>
      <c r="Z3" s="486"/>
      <c r="AA3" s="486"/>
      <c r="AB3" s="486"/>
    </row>
    <row r="4" spans="2:28" ht="11.25" customHeight="1">
      <c r="B4" s="732"/>
      <c r="C4" s="732"/>
      <c r="D4" s="734"/>
      <c r="E4" s="718" t="s">
        <v>106</v>
      </c>
      <c r="F4" s="721" t="s">
        <v>107</v>
      </c>
      <c r="G4" s="724" t="s">
        <v>108</v>
      </c>
      <c r="H4" s="718" t="s">
        <v>106</v>
      </c>
      <c r="I4" s="721" t="s">
        <v>107</v>
      </c>
      <c r="J4" s="724" t="s">
        <v>108</v>
      </c>
      <c r="K4" s="718" t="s">
        <v>106</v>
      </c>
      <c r="L4" s="721" t="s">
        <v>107</v>
      </c>
      <c r="M4" s="724" t="s">
        <v>108</v>
      </c>
      <c r="N4" s="489"/>
      <c r="O4" s="489"/>
      <c r="P4" s="489"/>
      <c r="Q4" s="575"/>
      <c r="R4" s="586"/>
      <c r="S4" s="586"/>
      <c r="T4" s="586"/>
      <c r="U4" s="587"/>
      <c r="V4" s="490"/>
      <c r="W4" s="491"/>
      <c r="X4" s="490"/>
      <c r="Y4" s="490"/>
      <c r="Z4" s="490"/>
      <c r="AA4" s="491"/>
      <c r="AB4" s="489"/>
    </row>
    <row r="5" spans="2:28" ht="11.25" customHeight="1">
      <c r="B5" s="732"/>
      <c r="C5" s="732"/>
      <c r="D5" s="734"/>
      <c r="E5" s="719"/>
      <c r="F5" s="722"/>
      <c r="G5" s="725"/>
      <c r="H5" s="719"/>
      <c r="I5" s="722"/>
      <c r="J5" s="725"/>
      <c r="K5" s="719"/>
      <c r="L5" s="722"/>
      <c r="M5" s="725"/>
      <c r="N5" s="489"/>
      <c r="O5" s="489"/>
      <c r="P5" s="489"/>
      <c r="Q5" s="576"/>
      <c r="R5" s="588"/>
      <c r="S5" s="588"/>
      <c r="T5" s="588"/>
      <c r="U5" s="589"/>
      <c r="V5" s="493"/>
      <c r="W5" s="491"/>
      <c r="X5" s="492"/>
      <c r="Y5" s="492"/>
      <c r="Z5" s="493"/>
      <c r="AA5" s="491"/>
      <c r="AB5" s="489"/>
    </row>
    <row r="6" spans="2:28" ht="11.25" customHeight="1">
      <c r="B6" s="732"/>
      <c r="C6" s="732"/>
      <c r="D6" s="734"/>
      <c r="E6" s="719"/>
      <c r="F6" s="722"/>
      <c r="G6" s="725"/>
      <c r="H6" s="719"/>
      <c r="I6" s="722"/>
      <c r="J6" s="725"/>
      <c r="K6" s="719"/>
      <c r="L6" s="722"/>
      <c r="M6" s="725"/>
      <c r="N6" s="489"/>
      <c r="O6" s="489"/>
      <c r="P6" s="489"/>
      <c r="Q6" s="576"/>
      <c r="R6" s="588"/>
      <c r="S6" s="588"/>
      <c r="T6" s="588"/>
      <c r="U6" s="589"/>
      <c r="V6" s="493"/>
      <c r="W6" s="491"/>
      <c r="X6" s="492"/>
      <c r="Y6" s="492"/>
      <c r="Z6" s="493"/>
      <c r="AA6" s="491"/>
      <c r="AB6" s="489"/>
    </row>
    <row r="7" spans="2:28" ht="11.25" customHeight="1">
      <c r="B7" s="732"/>
      <c r="C7" s="732"/>
      <c r="D7" s="734"/>
      <c r="E7" s="719"/>
      <c r="F7" s="722"/>
      <c r="G7" s="725"/>
      <c r="H7" s="719"/>
      <c r="I7" s="722"/>
      <c r="J7" s="725"/>
      <c r="K7" s="719"/>
      <c r="L7" s="722"/>
      <c r="M7" s="725"/>
      <c r="N7" s="489"/>
      <c r="O7" s="571"/>
      <c r="P7" s="571"/>
      <c r="Q7" s="577"/>
      <c r="R7" s="590"/>
      <c r="S7" s="590"/>
      <c r="T7" s="590"/>
      <c r="U7" s="591"/>
      <c r="V7" s="493"/>
      <c r="W7" s="491"/>
      <c r="X7" s="492"/>
      <c r="Y7" s="492"/>
      <c r="Z7" s="493"/>
      <c r="AA7" s="491"/>
      <c r="AB7" s="489"/>
    </row>
    <row r="8" spans="2:28" ht="11.25" customHeight="1">
      <c r="B8" s="732"/>
      <c r="C8" s="732"/>
      <c r="D8" s="734"/>
      <c r="E8" s="719"/>
      <c r="F8" s="722"/>
      <c r="G8" s="725"/>
      <c r="H8" s="719"/>
      <c r="I8" s="722"/>
      <c r="J8" s="725"/>
      <c r="K8" s="719"/>
      <c r="L8" s="722"/>
      <c r="M8" s="725"/>
      <c r="N8" s="489"/>
      <c r="O8" s="571"/>
      <c r="P8" s="571"/>
      <c r="Q8" s="578"/>
      <c r="R8" s="590"/>
      <c r="S8" s="590"/>
      <c r="T8" s="590"/>
      <c r="U8" s="591"/>
      <c r="V8" s="493"/>
      <c r="W8" s="491"/>
      <c r="X8" s="492"/>
      <c r="Y8" s="492"/>
      <c r="Z8" s="493"/>
      <c r="AA8" s="491"/>
      <c r="AB8" s="489"/>
    </row>
    <row r="9" spans="2:28" ht="11.25" customHeight="1" thickBot="1">
      <c r="B9" s="732"/>
      <c r="C9" s="735"/>
      <c r="D9" s="736"/>
      <c r="E9" s="720"/>
      <c r="F9" s="723"/>
      <c r="G9" s="726"/>
      <c r="H9" s="720"/>
      <c r="I9" s="723"/>
      <c r="J9" s="726"/>
      <c r="K9" s="720"/>
      <c r="L9" s="723"/>
      <c r="M9" s="726"/>
      <c r="N9" s="489"/>
      <c r="O9" s="571"/>
      <c r="P9" s="571"/>
      <c r="Q9" s="579"/>
      <c r="R9" s="592" t="s">
        <v>110</v>
      </c>
      <c r="S9" s="572" t="s">
        <v>102</v>
      </c>
      <c r="T9" s="572" t="s">
        <v>103</v>
      </c>
      <c r="U9" s="598" t="s">
        <v>109</v>
      </c>
      <c r="V9" s="493"/>
      <c r="W9" s="491"/>
      <c r="X9" s="494"/>
      <c r="Y9" s="494"/>
      <c r="Z9" s="493"/>
      <c r="AA9" s="491"/>
      <c r="AB9" s="489"/>
    </row>
    <row r="10" spans="2:28" ht="15" customHeight="1">
      <c r="B10" s="711" t="s">
        <v>44</v>
      </c>
      <c r="C10" s="692" t="s">
        <v>10</v>
      </c>
      <c r="D10" s="693"/>
      <c r="E10" s="495">
        <f>H10+K10</f>
        <v>18027</v>
      </c>
      <c r="F10" s="619">
        <f>I10+L10</f>
        <v>2368</v>
      </c>
      <c r="G10" s="497">
        <f>ROUND(F10/E10*100,1)</f>
        <v>13.1</v>
      </c>
      <c r="H10" s="498">
        <f>S10</f>
        <v>7603</v>
      </c>
      <c r="I10" s="499">
        <f>'性別・年齢別対象者数'!U8</f>
        <v>684</v>
      </c>
      <c r="J10" s="500">
        <f>ROUND(I10/H10*100,1)</f>
        <v>9</v>
      </c>
      <c r="K10" s="501">
        <f>T10</f>
        <v>10424</v>
      </c>
      <c r="L10" s="496">
        <f>'性別・年齢別対象者数'!AB8</f>
        <v>1684</v>
      </c>
      <c r="M10" s="502">
        <f>ROUND(L10/K10*100,1)</f>
        <v>16.2</v>
      </c>
      <c r="O10" s="6">
        <v>1</v>
      </c>
      <c r="P10" s="6">
        <v>8</v>
      </c>
      <c r="Q10" s="599" t="s">
        <v>10</v>
      </c>
      <c r="R10" s="604">
        <f>5291+4716+3753+2651+1244+313+59</f>
        <v>18027</v>
      </c>
      <c r="S10" s="604">
        <f>2563+2133+1567+935+341+50+14</f>
        <v>7603</v>
      </c>
      <c r="T10" s="604">
        <f>2728+2583+2186+1716+903+263+45</f>
        <v>10424</v>
      </c>
      <c r="U10" s="600">
        <f>S10+T10</f>
        <v>18027</v>
      </c>
      <c r="V10" s="486"/>
      <c r="W10" s="486"/>
      <c r="X10" s="486"/>
      <c r="Y10" s="486"/>
      <c r="Z10" s="486"/>
      <c r="AA10" s="486"/>
      <c r="AB10" s="486"/>
    </row>
    <row r="11" spans="2:28" ht="15" customHeight="1">
      <c r="B11" s="712"/>
      <c r="C11" s="727" t="s">
        <v>11</v>
      </c>
      <c r="D11" s="728"/>
      <c r="E11" s="503">
        <f aca="true" t="shared" si="0" ref="E11:E54">H11+K11</f>
        <v>2425</v>
      </c>
      <c r="F11" s="507">
        <f aca="true" t="shared" si="1" ref="F11:F57">I11+L11</f>
        <v>252</v>
      </c>
      <c r="G11" s="505">
        <f aca="true" t="shared" si="2" ref="G11:G57">ROUND(F11/E11*100,1)</f>
        <v>10.4</v>
      </c>
      <c r="H11" s="506">
        <f>S11</f>
        <v>1034</v>
      </c>
      <c r="I11" s="504">
        <f>'性別・年齢別対象者数'!U9</f>
        <v>69</v>
      </c>
      <c r="J11" s="505">
        <f aca="true" t="shared" si="3" ref="J11:J57">ROUND(I11/H11*100,1)</f>
        <v>6.7</v>
      </c>
      <c r="K11" s="506">
        <f>T11</f>
        <v>1391</v>
      </c>
      <c r="L11" s="507">
        <f>'性別・年齢別対象者数'!AB9</f>
        <v>183</v>
      </c>
      <c r="M11" s="508">
        <f aca="true" t="shared" si="4" ref="M11:M57">ROUND(L11/K11*100,1)</f>
        <v>13.2</v>
      </c>
      <c r="O11" s="6">
        <v>2</v>
      </c>
      <c r="P11" s="6">
        <v>13</v>
      </c>
      <c r="Q11" s="601" t="s">
        <v>11</v>
      </c>
      <c r="R11" s="605">
        <f>773+623+468+334+178+43+6</f>
        <v>2425</v>
      </c>
      <c r="S11" s="605">
        <f>390+287+192+126+38+1</f>
        <v>1034</v>
      </c>
      <c r="T11" s="605">
        <f>383+336+276+208+140+42+6</f>
        <v>1391</v>
      </c>
      <c r="U11" s="602">
        <f>S11+T11</f>
        <v>2425</v>
      </c>
      <c r="V11" s="486"/>
      <c r="W11" s="486"/>
      <c r="X11" s="486"/>
      <c r="Y11" s="486"/>
      <c r="Z11" s="486"/>
      <c r="AA11" s="486"/>
      <c r="AB11" s="486"/>
    </row>
    <row r="12" spans="2:32" s="515" customFormat="1" ht="15" customHeight="1" thickBot="1">
      <c r="B12" s="712"/>
      <c r="C12" s="729" t="s">
        <v>12</v>
      </c>
      <c r="D12" s="730"/>
      <c r="E12" s="509">
        <f t="shared" si="0"/>
        <v>3414</v>
      </c>
      <c r="F12" s="544">
        <f t="shared" si="1"/>
        <v>327</v>
      </c>
      <c r="G12" s="510">
        <f t="shared" si="2"/>
        <v>9.6</v>
      </c>
      <c r="H12" s="511">
        <f>S12</f>
        <v>1499</v>
      </c>
      <c r="I12" s="512">
        <f>'性別・年齢別対象者数'!U10</f>
        <v>106</v>
      </c>
      <c r="J12" s="510">
        <f t="shared" si="3"/>
        <v>7.1</v>
      </c>
      <c r="K12" s="511">
        <f>T12</f>
        <v>1915</v>
      </c>
      <c r="L12" s="513">
        <f>'性別・年齢別対象者数'!AB10</f>
        <v>221</v>
      </c>
      <c r="M12" s="514">
        <f t="shared" si="4"/>
        <v>11.5</v>
      </c>
      <c r="O12" s="6">
        <v>3</v>
      </c>
      <c r="P12" s="7">
        <v>14</v>
      </c>
      <c r="Q12" s="599" t="s">
        <v>12</v>
      </c>
      <c r="R12" s="604">
        <f>1160+902+610+449+218+57+18</f>
        <v>3414</v>
      </c>
      <c r="S12" s="604">
        <f>574+433+253+166+56+14+3</f>
        <v>1499</v>
      </c>
      <c r="T12" s="604">
        <f>586+469+357+283+162+43+15</f>
        <v>1915</v>
      </c>
      <c r="U12" s="600">
        <f>S12+T12</f>
        <v>3414</v>
      </c>
      <c r="V12" s="516"/>
      <c r="W12" s="516"/>
      <c r="X12" s="516"/>
      <c r="Y12" s="516"/>
      <c r="Z12" s="516"/>
      <c r="AA12" s="516"/>
      <c r="AB12" s="516"/>
      <c r="AD12" s="484"/>
      <c r="AE12" s="484"/>
      <c r="AF12" s="484"/>
    </row>
    <row r="13" spans="2:28" ht="15" customHeight="1" thickBot="1" thickTop="1">
      <c r="B13" s="713"/>
      <c r="C13" s="708" t="s">
        <v>7</v>
      </c>
      <c r="D13" s="709"/>
      <c r="E13" s="517">
        <f t="shared" si="0"/>
        <v>23866</v>
      </c>
      <c r="F13" s="533">
        <f t="shared" si="1"/>
        <v>2947</v>
      </c>
      <c r="G13" s="519">
        <f t="shared" si="2"/>
        <v>12.3</v>
      </c>
      <c r="H13" s="520">
        <f>SUM(H10:H12)</f>
        <v>10136</v>
      </c>
      <c r="I13" s="518">
        <f>'性別・年齢別対象者数'!U11</f>
        <v>859</v>
      </c>
      <c r="J13" s="519">
        <f t="shared" si="3"/>
        <v>8.5</v>
      </c>
      <c r="K13" s="520">
        <f>SUM(K10:K12)</f>
        <v>13730</v>
      </c>
      <c r="L13" s="521">
        <f>'性別・年齢別対象者数'!AB11</f>
        <v>2088</v>
      </c>
      <c r="M13" s="522">
        <f t="shared" si="4"/>
        <v>15.2</v>
      </c>
      <c r="O13" s="6">
        <v>4</v>
      </c>
      <c r="P13" s="6"/>
      <c r="Q13" s="599" t="s">
        <v>7</v>
      </c>
      <c r="R13" s="604"/>
      <c r="S13" s="604"/>
      <c r="T13" s="604"/>
      <c r="U13" s="600">
        <f>S13+T13</f>
        <v>0</v>
      </c>
      <c r="V13" s="486"/>
      <c r="W13" s="486"/>
      <c r="X13" s="486"/>
      <c r="Y13" s="486"/>
      <c r="Z13" s="486"/>
      <c r="AA13" s="486"/>
      <c r="AB13" s="486"/>
    </row>
    <row r="14" spans="2:28" s="515" customFormat="1" ht="15" customHeight="1">
      <c r="B14" s="711" t="s">
        <v>47</v>
      </c>
      <c r="C14" s="692" t="s">
        <v>6</v>
      </c>
      <c r="D14" s="693"/>
      <c r="E14" s="523">
        <f t="shared" si="0"/>
        <v>68633</v>
      </c>
      <c r="F14" s="619">
        <f t="shared" si="1"/>
        <v>8578</v>
      </c>
      <c r="G14" s="524">
        <f t="shared" si="2"/>
        <v>12.5</v>
      </c>
      <c r="H14" s="525">
        <f>S14</f>
        <v>28722</v>
      </c>
      <c r="I14" s="526">
        <f>'性別・年齢別対象者数'!U12</f>
        <v>2243</v>
      </c>
      <c r="J14" s="524">
        <f t="shared" si="3"/>
        <v>7.8</v>
      </c>
      <c r="K14" s="525">
        <f>T14</f>
        <v>39911</v>
      </c>
      <c r="L14" s="527">
        <f>'性別・年齢別対象者数'!AB12</f>
        <v>6335</v>
      </c>
      <c r="M14" s="528">
        <f t="shared" si="4"/>
        <v>15.9</v>
      </c>
      <c r="O14" s="6">
        <v>5</v>
      </c>
      <c r="P14" s="7">
        <v>1</v>
      </c>
      <c r="Q14" s="599" t="s">
        <v>6</v>
      </c>
      <c r="R14" s="604">
        <f>20989+17780+14021+9849+4682+1082+230</f>
        <v>68633</v>
      </c>
      <c r="S14" s="604">
        <f>9925+8015+5751+3530+1267+200+34</f>
        <v>28722</v>
      </c>
      <c r="T14" s="604">
        <f>11064+9765+8270+6319+3415+882+196</f>
        <v>39911</v>
      </c>
      <c r="U14" s="600">
        <f>S14+T14</f>
        <v>68633</v>
      </c>
      <c r="V14" s="516"/>
      <c r="W14" s="516"/>
      <c r="X14" s="516"/>
      <c r="Y14" s="516"/>
      <c r="Z14" s="516"/>
      <c r="AA14" s="516"/>
      <c r="AB14" s="516"/>
    </row>
    <row r="15" spans="2:28" ht="15" customHeight="1">
      <c r="B15" s="712"/>
      <c r="C15" s="714" t="s">
        <v>28</v>
      </c>
      <c r="D15" s="715"/>
      <c r="E15" s="503">
        <f t="shared" si="0"/>
        <v>36683</v>
      </c>
      <c r="F15" s="507">
        <f t="shared" si="1"/>
        <v>4646</v>
      </c>
      <c r="G15" s="505">
        <f t="shared" si="2"/>
        <v>12.7</v>
      </c>
      <c r="H15" s="506">
        <f>S15</f>
        <v>15768</v>
      </c>
      <c r="I15" s="504">
        <f>'性別・年齢別対象者数'!U13</f>
        <v>1395</v>
      </c>
      <c r="J15" s="505">
        <f t="shared" si="3"/>
        <v>8.8</v>
      </c>
      <c r="K15" s="506">
        <f>T15</f>
        <v>20915</v>
      </c>
      <c r="L15" s="529">
        <f>'性別・年齢別対象者数'!AB13</f>
        <v>3251</v>
      </c>
      <c r="M15" s="508">
        <f t="shared" si="4"/>
        <v>15.5</v>
      </c>
      <c r="O15" s="6">
        <v>6</v>
      </c>
      <c r="P15" s="6">
        <v>4</v>
      </c>
      <c r="Q15" s="601" t="s">
        <v>28</v>
      </c>
      <c r="R15" s="605">
        <f>11834+9642+7339+4924+2277+561+106</f>
        <v>36683</v>
      </c>
      <c r="S15" s="605">
        <f>5723+4465+3077+1799+580+113+11</f>
        <v>15768</v>
      </c>
      <c r="T15" s="605">
        <f>6111+5177+4262+3125+1697+448+95</f>
        <v>20915</v>
      </c>
      <c r="U15" s="600">
        <f aca="true" t="shared" si="5" ref="U15:U54">S15+T15</f>
        <v>36683</v>
      </c>
      <c r="V15" s="486"/>
      <c r="W15" s="486"/>
      <c r="X15" s="486"/>
      <c r="Y15" s="486"/>
      <c r="Z15" s="486"/>
      <c r="AA15" s="486"/>
      <c r="AB15" s="486"/>
    </row>
    <row r="16" spans="2:28" ht="15" customHeight="1" thickBot="1">
      <c r="B16" s="712"/>
      <c r="C16" s="696" t="s">
        <v>29</v>
      </c>
      <c r="D16" s="697"/>
      <c r="E16" s="530">
        <f t="shared" si="0"/>
        <v>5543</v>
      </c>
      <c r="F16" s="544">
        <f t="shared" si="1"/>
        <v>566</v>
      </c>
      <c r="G16" s="510">
        <f t="shared" si="2"/>
        <v>10.2</v>
      </c>
      <c r="H16" s="531">
        <f>S16</f>
        <v>2381</v>
      </c>
      <c r="I16" s="512">
        <f>'性別・年齢別対象者数'!U14</f>
        <v>161</v>
      </c>
      <c r="J16" s="510">
        <f t="shared" si="3"/>
        <v>6.8</v>
      </c>
      <c r="K16" s="531">
        <f>T16</f>
        <v>3162</v>
      </c>
      <c r="L16" s="532">
        <f>'性別・年齢別対象者数'!AB14</f>
        <v>405</v>
      </c>
      <c r="M16" s="514">
        <f t="shared" si="4"/>
        <v>12.8</v>
      </c>
      <c r="O16" s="6">
        <v>7</v>
      </c>
      <c r="P16" s="6">
        <v>30</v>
      </c>
      <c r="Q16" s="599" t="s">
        <v>29</v>
      </c>
      <c r="R16" s="604">
        <f>2027+1396+991+689+338+89+13</f>
        <v>5543</v>
      </c>
      <c r="S16" s="604">
        <f>1026+616+411+228+84+14+2</f>
        <v>2381</v>
      </c>
      <c r="T16" s="604">
        <f>1001+780+580+461+254+75+11</f>
        <v>3162</v>
      </c>
      <c r="U16" s="600">
        <f t="shared" si="5"/>
        <v>5543</v>
      </c>
      <c r="V16" s="486"/>
      <c r="W16" s="486"/>
      <c r="X16" s="486"/>
      <c r="Y16" s="486"/>
      <c r="Z16" s="486"/>
      <c r="AA16" s="486"/>
      <c r="AB16" s="486"/>
    </row>
    <row r="17" spans="2:28" ht="15" customHeight="1" thickBot="1" thickTop="1">
      <c r="B17" s="713"/>
      <c r="C17" s="708" t="s">
        <v>7</v>
      </c>
      <c r="D17" s="709"/>
      <c r="E17" s="517">
        <f t="shared" si="0"/>
        <v>110859</v>
      </c>
      <c r="F17" s="620">
        <f t="shared" si="1"/>
        <v>13790</v>
      </c>
      <c r="G17" s="519">
        <f t="shared" si="2"/>
        <v>12.4</v>
      </c>
      <c r="H17" s="520">
        <f>SUM(H14:H16)</f>
        <v>46871</v>
      </c>
      <c r="I17" s="518">
        <f>'性別・年齢別対象者数'!U15</f>
        <v>3799</v>
      </c>
      <c r="J17" s="519"/>
      <c r="K17" s="520">
        <f>SUM(K14:K16)</f>
        <v>63988</v>
      </c>
      <c r="L17" s="533">
        <f>'性別・年齢別対象者数'!AB15</f>
        <v>9991</v>
      </c>
      <c r="M17" s="522">
        <f t="shared" si="4"/>
        <v>15.6</v>
      </c>
      <c r="O17" s="6">
        <v>8</v>
      </c>
      <c r="P17" s="6"/>
      <c r="Q17" s="599" t="s">
        <v>7</v>
      </c>
      <c r="R17" s="604"/>
      <c r="S17" s="604"/>
      <c r="T17" s="604"/>
      <c r="U17" s="600">
        <f t="shared" si="5"/>
        <v>0</v>
      </c>
      <c r="V17" s="486"/>
      <c r="W17" s="486"/>
      <c r="X17" s="486"/>
      <c r="Y17" s="486"/>
      <c r="Z17" s="486"/>
      <c r="AA17" s="486"/>
      <c r="AB17" s="486"/>
    </row>
    <row r="18" spans="2:28" ht="15" customHeight="1">
      <c r="B18" s="700" t="s">
        <v>43</v>
      </c>
      <c r="C18" s="716" t="s">
        <v>8</v>
      </c>
      <c r="D18" s="717"/>
      <c r="E18" s="534">
        <f t="shared" si="0"/>
        <v>73207</v>
      </c>
      <c r="F18" s="619">
        <f t="shared" si="1"/>
        <v>10861</v>
      </c>
      <c r="G18" s="524">
        <f t="shared" si="2"/>
        <v>14.8</v>
      </c>
      <c r="H18" s="535">
        <f>S18</f>
        <v>31117</v>
      </c>
      <c r="I18" s="526">
        <f>'性別・年齢別対象者数'!U16</f>
        <v>3030</v>
      </c>
      <c r="J18" s="524">
        <f t="shared" si="3"/>
        <v>9.7</v>
      </c>
      <c r="K18" s="535">
        <f>T18</f>
        <v>42090</v>
      </c>
      <c r="L18" s="536">
        <f>'性別・年齢別対象者数'!AB16</f>
        <v>7831</v>
      </c>
      <c r="M18" s="528">
        <f t="shared" si="4"/>
        <v>18.6</v>
      </c>
      <c r="O18" s="6">
        <v>9</v>
      </c>
      <c r="P18" s="6">
        <v>2</v>
      </c>
      <c r="Q18" s="601" t="s">
        <v>8</v>
      </c>
      <c r="R18" s="605">
        <f>23383+19319+14483+9914+4779+1124+205</f>
        <v>73207</v>
      </c>
      <c r="S18" s="605">
        <f>11140+8801+5969+3574+1404+203+26</f>
        <v>31117</v>
      </c>
      <c r="T18" s="605">
        <f>12243+10518+8514+6340+3375+921+179</f>
        <v>42090</v>
      </c>
      <c r="U18" s="600">
        <f t="shared" si="5"/>
        <v>73207</v>
      </c>
      <c r="V18" s="486"/>
      <c r="W18" s="486"/>
      <c r="X18" s="486"/>
      <c r="Y18" s="486"/>
      <c r="Z18" s="486"/>
      <c r="AA18" s="486"/>
      <c r="AB18" s="486"/>
    </row>
    <row r="19" spans="2:28" ht="15" customHeight="1" thickBot="1">
      <c r="B19" s="704"/>
      <c r="C19" s="706" t="s">
        <v>9</v>
      </c>
      <c r="D19" s="707"/>
      <c r="E19" s="530">
        <f t="shared" si="0"/>
        <v>13991</v>
      </c>
      <c r="F19" s="622">
        <f t="shared" si="1"/>
        <v>1999</v>
      </c>
      <c r="G19" s="510">
        <f t="shared" si="2"/>
        <v>14.3</v>
      </c>
      <c r="H19" s="531">
        <f>S19</f>
        <v>5968</v>
      </c>
      <c r="I19" s="512">
        <f>'性別・年齢別対象者数'!U17</f>
        <v>576</v>
      </c>
      <c r="J19" s="510">
        <f t="shared" si="3"/>
        <v>9.7</v>
      </c>
      <c r="K19" s="531">
        <f>T19</f>
        <v>8023</v>
      </c>
      <c r="L19" s="513">
        <f>'性別・年齢別対象者数'!AB17</f>
        <v>1423</v>
      </c>
      <c r="M19" s="514">
        <f t="shared" si="4"/>
        <v>17.7</v>
      </c>
      <c r="O19" s="6">
        <v>10</v>
      </c>
      <c r="P19" s="6">
        <v>11</v>
      </c>
      <c r="Q19" s="599" t="s">
        <v>9</v>
      </c>
      <c r="R19" s="604">
        <f>4135+3559+2848+1996+1121+290+42</f>
        <v>13991</v>
      </c>
      <c r="S19" s="604">
        <f>2025+1649+1191+732+329+42</f>
        <v>5968</v>
      </c>
      <c r="T19" s="604">
        <f>2110+1910+1657+1264+792+248+42</f>
        <v>8023</v>
      </c>
      <c r="U19" s="600">
        <f t="shared" si="5"/>
        <v>13991</v>
      </c>
      <c r="V19" s="486"/>
      <c r="W19" s="486"/>
      <c r="X19" s="486"/>
      <c r="Y19" s="486"/>
      <c r="Z19" s="486"/>
      <c r="AA19" s="486"/>
      <c r="AB19" s="486"/>
    </row>
    <row r="20" spans="2:28" ht="15" customHeight="1" thickBot="1" thickTop="1">
      <c r="B20" s="701"/>
      <c r="C20" s="708" t="s">
        <v>7</v>
      </c>
      <c r="D20" s="709"/>
      <c r="E20" s="517">
        <f t="shared" si="0"/>
        <v>87198</v>
      </c>
      <c r="F20" s="536">
        <f t="shared" si="1"/>
        <v>12860</v>
      </c>
      <c r="G20" s="519">
        <f t="shared" si="2"/>
        <v>14.7</v>
      </c>
      <c r="H20" s="520">
        <f>H18+H19</f>
        <v>37085</v>
      </c>
      <c r="I20" s="518">
        <f>'性別・年齢別対象者数'!U18</f>
        <v>3606</v>
      </c>
      <c r="J20" s="519">
        <f t="shared" si="3"/>
        <v>9.7</v>
      </c>
      <c r="K20" s="520">
        <f>K18+K19</f>
        <v>50113</v>
      </c>
      <c r="L20" s="533">
        <f>'性別・年齢別対象者数'!AB18</f>
        <v>9254</v>
      </c>
      <c r="M20" s="522">
        <f t="shared" si="4"/>
        <v>18.5</v>
      </c>
      <c r="O20" s="6">
        <v>11</v>
      </c>
      <c r="P20" s="6"/>
      <c r="Q20" s="599" t="s">
        <v>7</v>
      </c>
      <c r="R20" s="604"/>
      <c r="S20" s="604"/>
      <c r="T20" s="604"/>
      <c r="U20" s="600">
        <f t="shared" si="5"/>
        <v>0</v>
      </c>
      <c r="V20" s="486"/>
      <c r="W20" s="486"/>
      <c r="X20" s="486"/>
      <c r="Y20" s="486"/>
      <c r="Z20" s="486"/>
      <c r="AA20" s="486"/>
      <c r="AB20" s="486"/>
    </row>
    <row r="21" spans="2:28" s="515" customFormat="1" ht="15" customHeight="1">
      <c r="B21" s="700" t="s">
        <v>45</v>
      </c>
      <c r="C21" s="692" t="s">
        <v>13</v>
      </c>
      <c r="D21" s="693"/>
      <c r="E21" s="523">
        <f t="shared" si="0"/>
        <v>13774</v>
      </c>
      <c r="F21" s="619">
        <f t="shared" si="1"/>
        <v>1543</v>
      </c>
      <c r="G21" s="524">
        <f t="shared" si="2"/>
        <v>11.2</v>
      </c>
      <c r="H21" s="525">
        <f>S21</f>
        <v>5832</v>
      </c>
      <c r="I21" s="526">
        <f>'性別・年齢別対象者数'!U19</f>
        <v>388</v>
      </c>
      <c r="J21" s="524">
        <f t="shared" si="3"/>
        <v>6.7</v>
      </c>
      <c r="K21" s="525">
        <f>T21</f>
        <v>7942</v>
      </c>
      <c r="L21" s="527">
        <f>'性別・年齢別対象者数'!AB19</f>
        <v>1155</v>
      </c>
      <c r="M21" s="528">
        <f t="shared" si="4"/>
        <v>14.5</v>
      </c>
      <c r="O21" s="6">
        <v>12</v>
      </c>
      <c r="P21" s="7">
        <v>9</v>
      </c>
      <c r="Q21" s="603" t="s">
        <v>13</v>
      </c>
      <c r="R21" s="606">
        <f>4321+3681+2704+1880+914+246+28</f>
        <v>13774</v>
      </c>
      <c r="S21" s="606">
        <f>2075+1702+1124+650+240+41</f>
        <v>5832</v>
      </c>
      <c r="T21" s="606">
        <f>2246+1979+1580+1230+674+205+28</f>
        <v>7942</v>
      </c>
      <c r="U21" s="600">
        <f t="shared" si="5"/>
        <v>13774</v>
      </c>
      <c r="V21" s="516"/>
      <c r="W21" s="516"/>
      <c r="X21" s="516"/>
      <c r="Y21" s="516"/>
      <c r="Z21" s="516"/>
      <c r="AA21" s="516"/>
      <c r="AB21" s="516"/>
    </row>
    <row r="22" spans="2:28" s="515" customFormat="1" ht="15" customHeight="1">
      <c r="B22" s="704"/>
      <c r="C22" s="694" t="s">
        <v>14</v>
      </c>
      <c r="D22" s="695"/>
      <c r="E22" s="537">
        <f t="shared" si="0"/>
        <v>420</v>
      </c>
      <c r="F22" s="507">
        <f t="shared" si="1"/>
        <v>78</v>
      </c>
      <c r="G22" s="505">
        <f t="shared" si="2"/>
        <v>18.6</v>
      </c>
      <c r="H22" s="538">
        <f>S22</f>
        <v>190</v>
      </c>
      <c r="I22" s="504">
        <f>'性別・年齢別対象者数'!U20</f>
        <v>27</v>
      </c>
      <c r="J22" s="505">
        <f t="shared" si="3"/>
        <v>14.2</v>
      </c>
      <c r="K22" s="538">
        <f>T22</f>
        <v>230</v>
      </c>
      <c r="L22" s="529">
        <f>'性別・年齢別対象者数'!AB20</f>
        <v>51</v>
      </c>
      <c r="M22" s="508">
        <f t="shared" si="4"/>
        <v>22.2</v>
      </c>
      <c r="O22" s="6">
        <v>13</v>
      </c>
      <c r="P22" s="7">
        <v>15</v>
      </c>
      <c r="Q22" s="599" t="s">
        <v>14</v>
      </c>
      <c r="R22" s="604">
        <f>77+87+117+92+37+9+1</f>
        <v>420</v>
      </c>
      <c r="S22" s="604">
        <f>33+44+56+36+18+2+1</f>
        <v>190</v>
      </c>
      <c r="T22" s="604">
        <f>44+43+61+56+19+7</f>
        <v>230</v>
      </c>
      <c r="U22" s="600">
        <f t="shared" si="5"/>
        <v>420</v>
      </c>
      <c r="V22" s="516"/>
      <c r="W22" s="516"/>
      <c r="X22" s="516"/>
      <c r="Y22" s="516"/>
      <c r="Z22" s="516"/>
      <c r="AA22" s="516"/>
      <c r="AB22" s="516"/>
    </row>
    <row r="23" spans="2:28" ht="15" customHeight="1" thickBot="1">
      <c r="B23" s="704"/>
      <c r="C23" s="696" t="s">
        <v>64</v>
      </c>
      <c r="D23" s="697"/>
      <c r="E23" s="530">
        <f t="shared" si="0"/>
        <v>826</v>
      </c>
      <c r="F23" s="544">
        <f t="shared" si="1"/>
        <v>173</v>
      </c>
      <c r="G23" s="510">
        <f t="shared" si="2"/>
        <v>20.9</v>
      </c>
      <c r="H23" s="531">
        <f>S23</f>
        <v>333</v>
      </c>
      <c r="I23" s="512">
        <f>'性別・年齢別対象者数'!U21</f>
        <v>44</v>
      </c>
      <c r="J23" s="510">
        <f t="shared" si="3"/>
        <v>13.2</v>
      </c>
      <c r="K23" s="531">
        <f>T23</f>
        <v>493</v>
      </c>
      <c r="L23" s="532">
        <f>'性別・年齢別対象者数'!AB21</f>
        <v>129</v>
      </c>
      <c r="M23" s="514">
        <f t="shared" si="4"/>
        <v>26.2</v>
      </c>
      <c r="O23" s="6">
        <v>14</v>
      </c>
      <c r="P23" s="6">
        <v>16</v>
      </c>
      <c r="Q23" s="599" t="s">
        <v>64</v>
      </c>
      <c r="R23" s="604">
        <f>164+219+206+161+57+19</f>
        <v>826</v>
      </c>
      <c r="S23" s="604">
        <f>77+93+84+60+13+6</f>
        <v>333</v>
      </c>
      <c r="T23" s="604">
        <f>87+126+122+101+44+13</f>
        <v>493</v>
      </c>
      <c r="U23" s="600">
        <f t="shared" si="5"/>
        <v>826</v>
      </c>
      <c r="V23" s="486"/>
      <c r="W23" s="486"/>
      <c r="X23" s="486"/>
      <c r="Y23" s="486"/>
      <c r="Z23" s="486"/>
      <c r="AA23" s="486"/>
      <c r="AB23" s="486"/>
    </row>
    <row r="24" spans="2:28" ht="15" customHeight="1" thickBot="1" thickTop="1">
      <c r="B24" s="701"/>
      <c r="C24" s="698" t="s">
        <v>7</v>
      </c>
      <c r="D24" s="699"/>
      <c r="E24" s="517">
        <f t="shared" si="0"/>
        <v>15020</v>
      </c>
      <c r="F24" s="620">
        <f t="shared" si="1"/>
        <v>1794</v>
      </c>
      <c r="G24" s="519">
        <f t="shared" si="2"/>
        <v>11.9</v>
      </c>
      <c r="H24" s="520">
        <f>SUM(H21:H23)</f>
        <v>6355</v>
      </c>
      <c r="I24" s="518">
        <f>'性別・年齢別対象者数'!U22</f>
        <v>459</v>
      </c>
      <c r="J24" s="519">
        <f t="shared" si="3"/>
        <v>7.2</v>
      </c>
      <c r="K24" s="520">
        <f>SUM(K21:K23)</f>
        <v>8665</v>
      </c>
      <c r="L24" s="521">
        <f>'性別・年齢別対象者数'!AB22</f>
        <v>1335</v>
      </c>
      <c r="M24" s="522">
        <f t="shared" si="4"/>
        <v>15.4</v>
      </c>
      <c r="O24" s="6">
        <v>15</v>
      </c>
      <c r="P24" s="6"/>
      <c r="Q24" s="599" t="s">
        <v>7</v>
      </c>
      <c r="R24" s="604"/>
      <c r="S24" s="604"/>
      <c r="T24" s="604"/>
      <c r="U24" s="600">
        <f t="shared" si="5"/>
        <v>0</v>
      </c>
      <c r="V24" s="486"/>
      <c r="W24" s="486"/>
      <c r="X24" s="486"/>
      <c r="Y24" s="486"/>
      <c r="Z24" s="486"/>
      <c r="AA24" s="486"/>
      <c r="AB24" s="486"/>
    </row>
    <row r="25" spans="2:28" ht="15" customHeight="1">
      <c r="B25" s="700" t="s">
        <v>46</v>
      </c>
      <c r="C25" s="692" t="s">
        <v>15</v>
      </c>
      <c r="D25" s="693"/>
      <c r="E25" s="534">
        <f t="shared" si="0"/>
        <v>11454</v>
      </c>
      <c r="F25" s="619">
        <f t="shared" si="1"/>
        <v>1517</v>
      </c>
      <c r="G25" s="524">
        <f t="shared" si="2"/>
        <v>13.2</v>
      </c>
      <c r="H25" s="535">
        <f>S25</f>
        <v>4914</v>
      </c>
      <c r="I25" s="526">
        <f>'性別・年齢別対象者数'!U23</f>
        <v>436</v>
      </c>
      <c r="J25" s="524">
        <f t="shared" si="3"/>
        <v>8.9</v>
      </c>
      <c r="K25" s="535">
        <f>T25</f>
        <v>6540</v>
      </c>
      <c r="L25" s="536">
        <f>'性別・年齢別対象者数'!AB23</f>
        <v>1081</v>
      </c>
      <c r="M25" s="528">
        <f t="shared" si="4"/>
        <v>16.5</v>
      </c>
      <c r="O25" s="6">
        <v>16</v>
      </c>
      <c r="P25" s="6">
        <v>10</v>
      </c>
      <c r="Q25" s="601" t="s">
        <v>15</v>
      </c>
      <c r="R25" s="605">
        <f>3249+2908+2313+1796+929+229+30</f>
        <v>11454</v>
      </c>
      <c r="S25" s="605">
        <f>1583+1379+984+640+284+37+7</f>
        <v>4914</v>
      </c>
      <c r="T25" s="605">
        <f>1666+1529+1329+1156+645+192+23</f>
        <v>6540</v>
      </c>
      <c r="U25" s="600">
        <f t="shared" si="5"/>
        <v>11454</v>
      </c>
      <c r="V25" s="486"/>
      <c r="W25" s="486"/>
      <c r="X25" s="486"/>
      <c r="Y25" s="486"/>
      <c r="Z25" s="486"/>
      <c r="AA25" s="486"/>
      <c r="AB25" s="486"/>
    </row>
    <row r="26" spans="2:28" ht="15" customHeight="1">
      <c r="B26" s="704"/>
      <c r="C26" s="694" t="s">
        <v>16</v>
      </c>
      <c r="D26" s="695"/>
      <c r="E26" s="503">
        <f t="shared" si="0"/>
        <v>2568</v>
      </c>
      <c r="F26" s="507">
        <f t="shared" si="1"/>
        <v>505</v>
      </c>
      <c r="G26" s="505">
        <f t="shared" si="2"/>
        <v>19.7</v>
      </c>
      <c r="H26" s="506">
        <f>S26</f>
        <v>1100</v>
      </c>
      <c r="I26" s="504">
        <f>'性別・年齢別対象者数'!U24</f>
        <v>153</v>
      </c>
      <c r="J26" s="505">
        <f t="shared" si="3"/>
        <v>13.9</v>
      </c>
      <c r="K26" s="506">
        <f>T26</f>
        <v>1468</v>
      </c>
      <c r="L26" s="507">
        <f>'性別・年齢別対象者数'!AB24</f>
        <v>352</v>
      </c>
      <c r="M26" s="508">
        <f t="shared" si="4"/>
        <v>24</v>
      </c>
      <c r="O26" s="6">
        <v>17</v>
      </c>
      <c r="P26" s="6">
        <v>17</v>
      </c>
      <c r="Q26" s="599" t="s">
        <v>16</v>
      </c>
      <c r="R26" s="604">
        <f>570+643+601+468+224+54+8</f>
        <v>2568</v>
      </c>
      <c r="S26" s="604">
        <f>270+289+278+181+67+13+2</f>
        <v>1100</v>
      </c>
      <c r="T26" s="604">
        <f>300+354+323+287+157+41+6</f>
        <v>1468</v>
      </c>
      <c r="U26" s="600">
        <f t="shared" si="5"/>
        <v>2568</v>
      </c>
      <c r="V26" s="486"/>
      <c r="W26" s="486"/>
      <c r="X26" s="486"/>
      <c r="Y26" s="486"/>
      <c r="Z26" s="486"/>
      <c r="AA26" s="486"/>
      <c r="AB26" s="486"/>
    </row>
    <row r="27" spans="2:28" ht="15" customHeight="1">
      <c r="B27" s="704"/>
      <c r="C27" s="694" t="s">
        <v>17</v>
      </c>
      <c r="D27" s="695"/>
      <c r="E27" s="503">
        <f t="shared" si="0"/>
        <v>942</v>
      </c>
      <c r="F27" s="507">
        <f t="shared" si="1"/>
        <v>216</v>
      </c>
      <c r="G27" s="505">
        <f t="shared" si="2"/>
        <v>22.9</v>
      </c>
      <c r="H27" s="506">
        <f>S27</f>
        <v>390</v>
      </c>
      <c r="I27" s="504">
        <f>'性別・年齢別対象者数'!U25</f>
        <v>54</v>
      </c>
      <c r="J27" s="505">
        <f t="shared" si="3"/>
        <v>13.8</v>
      </c>
      <c r="K27" s="506">
        <f>T27</f>
        <v>552</v>
      </c>
      <c r="L27" s="507">
        <f>'性別・年齢別対象者数'!AB25</f>
        <v>162</v>
      </c>
      <c r="M27" s="508">
        <f t="shared" si="4"/>
        <v>29.3</v>
      </c>
      <c r="O27" s="6">
        <v>18</v>
      </c>
      <c r="P27" s="6">
        <v>18</v>
      </c>
      <c r="Q27" s="599" t="s">
        <v>17</v>
      </c>
      <c r="R27" s="604">
        <f>153+236+232+193+101+22+5</f>
        <v>942</v>
      </c>
      <c r="S27" s="604">
        <f>81+98+98+75+34+4</f>
        <v>390</v>
      </c>
      <c r="T27" s="604">
        <f>72+138+134+118+67+18+5</f>
        <v>552</v>
      </c>
      <c r="U27" s="600">
        <f t="shared" si="5"/>
        <v>942</v>
      </c>
      <c r="V27" s="486"/>
      <c r="W27" s="486"/>
      <c r="X27" s="486"/>
      <c r="Y27" s="486"/>
      <c r="Z27" s="486"/>
      <c r="AA27" s="486"/>
      <c r="AB27" s="486"/>
    </row>
    <row r="28" spans="2:28" ht="15" customHeight="1" thickBot="1">
      <c r="B28" s="704"/>
      <c r="C28" s="706" t="s">
        <v>18</v>
      </c>
      <c r="D28" s="707"/>
      <c r="E28" s="530">
        <f t="shared" si="0"/>
        <v>2928</v>
      </c>
      <c r="F28" s="623">
        <f t="shared" si="1"/>
        <v>333</v>
      </c>
      <c r="G28" s="510">
        <f t="shared" si="2"/>
        <v>11.4</v>
      </c>
      <c r="H28" s="531">
        <f>S28</f>
        <v>1221</v>
      </c>
      <c r="I28" s="512">
        <f>'性別・年齢別対象者数'!U26</f>
        <v>98</v>
      </c>
      <c r="J28" s="510">
        <f t="shared" si="3"/>
        <v>8</v>
      </c>
      <c r="K28" s="531">
        <f>T28</f>
        <v>1707</v>
      </c>
      <c r="L28" s="513">
        <f>'性別・年齢別対象者数'!AB26</f>
        <v>235</v>
      </c>
      <c r="M28" s="514">
        <f t="shared" si="4"/>
        <v>13.8</v>
      </c>
      <c r="O28" s="6">
        <v>19</v>
      </c>
      <c r="P28" s="6">
        <v>19</v>
      </c>
      <c r="Q28" s="599" t="s">
        <v>18</v>
      </c>
      <c r="R28" s="604">
        <f>823+734+596+468+245+53+9</f>
        <v>2928</v>
      </c>
      <c r="S28" s="604">
        <f>413+339+241+161+56+10+1</f>
        <v>1221</v>
      </c>
      <c r="T28" s="604">
        <f>410+395+355+307+189+43+8</f>
        <v>1707</v>
      </c>
      <c r="U28" s="600">
        <f t="shared" si="5"/>
        <v>2928</v>
      </c>
      <c r="V28" s="486"/>
      <c r="W28" s="486"/>
      <c r="X28" s="486"/>
      <c r="Y28" s="486"/>
      <c r="Z28" s="486"/>
      <c r="AA28" s="486"/>
      <c r="AB28" s="486"/>
    </row>
    <row r="29" spans="2:28" ht="15" customHeight="1" thickBot="1" thickTop="1">
      <c r="B29" s="701"/>
      <c r="C29" s="708" t="s">
        <v>7</v>
      </c>
      <c r="D29" s="709"/>
      <c r="E29" s="517">
        <f t="shared" si="0"/>
        <v>17892</v>
      </c>
      <c r="F29" s="536">
        <f t="shared" si="1"/>
        <v>2571</v>
      </c>
      <c r="G29" s="519">
        <f t="shared" si="2"/>
        <v>14.4</v>
      </c>
      <c r="H29" s="520">
        <f>SUM(H25:H28)</f>
        <v>7625</v>
      </c>
      <c r="I29" s="518">
        <f>'性別・年齢別対象者数'!U27</f>
        <v>741</v>
      </c>
      <c r="J29" s="519">
        <f t="shared" si="3"/>
        <v>9.7</v>
      </c>
      <c r="K29" s="520">
        <f>SUM(K25:K28)</f>
        <v>10267</v>
      </c>
      <c r="L29" s="533">
        <f>'性別・年齢別対象者数'!AB27</f>
        <v>1830</v>
      </c>
      <c r="M29" s="522">
        <f t="shared" si="4"/>
        <v>17.8</v>
      </c>
      <c r="O29" s="6">
        <v>20</v>
      </c>
      <c r="P29" s="6"/>
      <c r="Q29" s="599" t="s">
        <v>7</v>
      </c>
      <c r="R29" s="604"/>
      <c r="S29" s="604"/>
      <c r="T29" s="604"/>
      <c r="U29" s="600">
        <f t="shared" si="5"/>
        <v>0</v>
      </c>
      <c r="V29" s="486"/>
      <c r="W29" s="486"/>
      <c r="X29" s="486"/>
      <c r="Y29" s="486"/>
      <c r="Z29" s="486"/>
      <c r="AA29" s="486"/>
      <c r="AB29" s="486"/>
    </row>
    <row r="30" spans="2:28" ht="15" customHeight="1">
      <c r="B30" s="700" t="s">
        <v>96</v>
      </c>
      <c r="C30" s="692" t="s">
        <v>19</v>
      </c>
      <c r="D30" s="693"/>
      <c r="E30" s="534">
        <f t="shared" si="0"/>
        <v>4747</v>
      </c>
      <c r="F30" s="619">
        <f t="shared" si="1"/>
        <v>721</v>
      </c>
      <c r="G30" s="524">
        <f t="shared" si="2"/>
        <v>15.2</v>
      </c>
      <c r="H30" s="535">
        <f aca="true" t="shared" si="6" ref="H30:H35">S30</f>
        <v>2010</v>
      </c>
      <c r="I30" s="526">
        <f>'性別・年齢別対象者数'!U28</f>
        <v>202</v>
      </c>
      <c r="J30" s="524">
        <f t="shared" si="3"/>
        <v>10</v>
      </c>
      <c r="K30" s="535">
        <f aca="true" t="shared" si="7" ref="K30:K35">T30</f>
        <v>2737</v>
      </c>
      <c r="L30" s="536">
        <f>'性別・年齢別対象者数'!AB28</f>
        <v>519</v>
      </c>
      <c r="M30" s="528">
        <f t="shared" si="4"/>
        <v>19</v>
      </c>
      <c r="O30" s="6">
        <v>21</v>
      </c>
      <c r="P30" s="6">
        <v>20</v>
      </c>
      <c r="Q30" s="601" t="s">
        <v>19</v>
      </c>
      <c r="R30" s="605">
        <f>1160+1130+1089+791+442+116+19</f>
        <v>4747</v>
      </c>
      <c r="S30" s="605">
        <f>585+558+428+290+128+19+2</f>
        <v>2010</v>
      </c>
      <c r="T30" s="605">
        <f>575+572+661+501+314+97+17</f>
        <v>2737</v>
      </c>
      <c r="U30" s="600">
        <f t="shared" si="5"/>
        <v>4747</v>
      </c>
      <c r="V30" s="486"/>
      <c r="W30" s="486"/>
      <c r="X30" s="486"/>
      <c r="Y30" s="486"/>
      <c r="Z30" s="486"/>
      <c r="AA30" s="486"/>
      <c r="AB30" s="486"/>
    </row>
    <row r="31" spans="2:28" ht="15" customHeight="1">
      <c r="B31" s="704"/>
      <c r="C31" s="694" t="s">
        <v>20</v>
      </c>
      <c r="D31" s="695"/>
      <c r="E31" s="503">
        <f t="shared" si="0"/>
        <v>1346</v>
      </c>
      <c r="F31" s="507">
        <f t="shared" si="1"/>
        <v>184</v>
      </c>
      <c r="G31" s="505">
        <f t="shared" si="2"/>
        <v>13.7</v>
      </c>
      <c r="H31" s="506">
        <f t="shared" si="6"/>
        <v>556</v>
      </c>
      <c r="I31" s="504">
        <f>'性別・年齢別対象者数'!U29</f>
        <v>47</v>
      </c>
      <c r="J31" s="505">
        <f t="shared" si="3"/>
        <v>8.5</v>
      </c>
      <c r="K31" s="506">
        <f t="shared" si="7"/>
        <v>790</v>
      </c>
      <c r="L31" s="507">
        <f>'性別・年齢別対象者数'!AB29</f>
        <v>137</v>
      </c>
      <c r="M31" s="508">
        <f t="shared" si="4"/>
        <v>17.3</v>
      </c>
      <c r="O31" s="6">
        <v>22</v>
      </c>
      <c r="P31" s="6">
        <v>21</v>
      </c>
      <c r="Q31" s="599" t="s">
        <v>20</v>
      </c>
      <c r="R31" s="604">
        <f>352+335+311+197+113+31+7</f>
        <v>1346</v>
      </c>
      <c r="S31" s="604">
        <f>162+163+130+64+28+7+2</f>
        <v>556</v>
      </c>
      <c r="T31" s="604">
        <f>190+172+181+133+85+24+5</f>
        <v>790</v>
      </c>
      <c r="U31" s="600">
        <f t="shared" si="5"/>
        <v>1346</v>
      </c>
      <c r="V31" s="486"/>
      <c r="W31" s="486"/>
      <c r="X31" s="486"/>
      <c r="Y31" s="486"/>
      <c r="Z31" s="486"/>
      <c r="AA31" s="486"/>
      <c r="AB31" s="486"/>
    </row>
    <row r="32" spans="2:28" ht="15" customHeight="1">
      <c r="B32" s="704"/>
      <c r="C32" s="694" t="s">
        <v>21</v>
      </c>
      <c r="D32" s="695"/>
      <c r="E32" s="503">
        <f t="shared" si="0"/>
        <v>2383</v>
      </c>
      <c r="F32" s="507">
        <f t="shared" si="1"/>
        <v>295</v>
      </c>
      <c r="G32" s="505">
        <f t="shared" si="2"/>
        <v>12.4</v>
      </c>
      <c r="H32" s="506">
        <f t="shared" si="6"/>
        <v>1023</v>
      </c>
      <c r="I32" s="504">
        <f>'性別・年齢別対象者数'!U30</f>
        <v>98</v>
      </c>
      <c r="J32" s="505">
        <f t="shared" si="3"/>
        <v>9.6</v>
      </c>
      <c r="K32" s="506">
        <f t="shared" si="7"/>
        <v>1360</v>
      </c>
      <c r="L32" s="507">
        <f>'性別・年齢別対象者数'!AB30</f>
        <v>197</v>
      </c>
      <c r="M32" s="508">
        <f t="shared" si="4"/>
        <v>14.5</v>
      </c>
      <c r="O32" s="6">
        <v>23</v>
      </c>
      <c r="P32" s="6">
        <v>22</v>
      </c>
      <c r="Q32" s="599" t="s">
        <v>21</v>
      </c>
      <c r="R32" s="604">
        <f>700+574+509+362+174+54+10</f>
        <v>2383</v>
      </c>
      <c r="S32" s="604">
        <f>349+252+219+143+52+7+1</f>
        <v>1023</v>
      </c>
      <c r="T32" s="604">
        <f>351+322+290+219+122+47+9</f>
        <v>1360</v>
      </c>
      <c r="U32" s="600">
        <f t="shared" si="5"/>
        <v>2383</v>
      </c>
      <c r="V32" s="486"/>
      <c r="W32" s="486"/>
      <c r="X32" s="486"/>
      <c r="Y32" s="486"/>
      <c r="Z32" s="486"/>
      <c r="AA32" s="486"/>
      <c r="AB32" s="486"/>
    </row>
    <row r="33" spans="2:28" ht="15" customHeight="1">
      <c r="B33" s="704"/>
      <c r="C33" s="694" t="s">
        <v>22</v>
      </c>
      <c r="D33" s="695"/>
      <c r="E33" s="503">
        <f t="shared" si="0"/>
        <v>1795</v>
      </c>
      <c r="F33" s="507">
        <f t="shared" si="1"/>
        <v>378</v>
      </c>
      <c r="G33" s="505">
        <f t="shared" si="2"/>
        <v>21.1</v>
      </c>
      <c r="H33" s="506">
        <f t="shared" si="6"/>
        <v>757</v>
      </c>
      <c r="I33" s="504">
        <f>'性別・年齢別対象者数'!U31</f>
        <v>121</v>
      </c>
      <c r="J33" s="505">
        <f t="shared" si="3"/>
        <v>16</v>
      </c>
      <c r="K33" s="506">
        <f t="shared" si="7"/>
        <v>1038</v>
      </c>
      <c r="L33" s="507">
        <f>'性別・年齢別対象者数'!AB31</f>
        <v>257</v>
      </c>
      <c r="M33" s="508">
        <f t="shared" si="4"/>
        <v>24.8</v>
      </c>
      <c r="O33" s="6">
        <v>24</v>
      </c>
      <c r="P33" s="6">
        <v>23</v>
      </c>
      <c r="Q33" s="599" t="s">
        <v>22</v>
      </c>
      <c r="R33" s="604">
        <f>536+538+338+248+107+21+7</f>
        <v>1795</v>
      </c>
      <c r="S33" s="604">
        <f>236+227+147+102+36+4+5</f>
        <v>757</v>
      </c>
      <c r="T33" s="604">
        <f>300+311+191+146+71+17+2</f>
        <v>1038</v>
      </c>
      <c r="U33" s="600">
        <f t="shared" si="5"/>
        <v>1795</v>
      </c>
      <c r="V33" s="486"/>
      <c r="W33" s="486"/>
      <c r="X33" s="486"/>
      <c r="Y33" s="486"/>
      <c r="Z33" s="486"/>
      <c r="AA33" s="486"/>
      <c r="AB33" s="486"/>
    </row>
    <row r="34" spans="2:28" ht="15" customHeight="1">
      <c r="B34" s="704"/>
      <c r="C34" s="694" t="s">
        <v>23</v>
      </c>
      <c r="D34" s="695"/>
      <c r="E34" s="503">
        <f t="shared" si="0"/>
        <v>965</v>
      </c>
      <c r="F34" s="507">
        <f t="shared" si="1"/>
        <v>104</v>
      </c>
      <c r="G34" s="505">
        <f t="shared" si="2"/>
        <v>10.8</v>
      </c>
      <c r="H34" s="506">
        <f t="shared" si="6"/>
        <v>403</v>
      </c>
      <c r="I34" s="504">
        <f>'性別・年齢別対象者数'!U32</f>
        <v>33</v>
      </c>
      <c r="J34" s="505">
        <f t="shared" si="3"/>
        <v>8.2</v>
      </c>
      <c r="K34" s="506">
        <f t="shared" si="7"/>
        <v>562</v>
      </c>
      <c r="L34" s="507">
        <f>'性別・年齢別対象者数'!AB32</f>
        <v>71</v>
      </c>
      <c r="M34" s="508">
        <f t="shared" si="4"/>
        <v>12.6</v>
      </c>
      <c r="O34" s="6">
        <v>25</v>
      </c>
      <c r="P34" s="6">
        <v>24</v>
      </c>
      <c r="Q34" s="599" t="s">
        <v>23</v>
      </c>
      <c r="R34" s="604">
        <f>228+219+223+171+96+26+2</f>
        <v>965</v>
      </c>
      <c r="S34" s="604">
        <f>112+95+105+64+24+3</f>
        <v>403</v>
      </c>
      <c r="T34" s="604">
        <f>116+124+118+107+72+23+2</f>
        <v>562</v>
      </c>
      <c r="U34" s="600">
        <f t="shared" si="5"/>
        <v>965</v>
      </c>
      <c r="V34" s="486"/>
      <c r="W34" s="486"/>
      <c r="X34" s="486"/>
      <c r="Y34" s="486"/>
      <c r="Z34" s="486"/>
      <c r="AA34" s="486"/>
      <c r="AB34" s="486"/>
    </row>
    <row r="35" spans="2:28" ht="15" customHeight="1" thickBot="1">
      <c r="B35" s="710"/>
      <c r="C35" s="696" t="s">
        <v>66</v>
      </c>
      <c r="D35" s="697"/>
      <c r="E35" s="530">
        <f t="shared" si="0"/>
        <v>3678</v>
      </c>
      <c r="F35" s="544">
        <f t="shared" si="1"/>
        <v>576</v>
      </c>
      <c r="G35" s="510">
        <f t="shared" si="2"/>
        <v>15.7</v>
      </c>
      <c r="H35" s="531">
        <f t="shared" si="6"/>
        <v>1539</v>
      </c>
      <c r="I35" s="512">
        <f>'性別・年齢別対象者数'!U33</f>
        <v>169</v>
      </c>
      <c r="J35" s="510">
        <f t="shared" si="3"/>
        <v>11</v>
      </c>
      <c r="K35" s="531">
        <f t="shared" si="7"/>
        <v>2139</v>
      </c>
      <c r="L35" s="513">
        <f>'性別・年齢別対象者数'!AB33</f>
        <v>407</v>
      </c>
      <c r="M35" s="514">
        <f t="shared" si="4"/>
        <v>19</v>
      </c>
      <c r="O35" s="6">
        <v>26</v>
      </c>
      <c r="P35" s="6">
        <v>25</v>
      </c>
      <c r="Q35" s="599" t="s">
        <v>66</v>
      </c>
      <c r="R35" s="604">
        <f>908+916+822+642+305+76+9</f>
        <v>3678</v>
      </c>
      <c r="S35" s="604">
        <f>429+415+343+254+85+9+4</f>
        <v>1539</v>
      </c>
      <c r="T35" s="604">
        <f>479+501+479+388+220+67+5</f>
        <v>2139</v>
      </c>
      <c r="U35" s="600">
        <f t="shared" si="5"/>
        <v>3678</v>
      </c>
      <c r="V35" s="486"/>
      <c r="W35" s="486"/>
      <c r="X35" s="486"/>
      <c r="Y35" s="486"/>
      <c r="Z35" s="486"/>
      <c r="AA35" s="486"/>
      <c r="AB35" s="486"/>
    </row>
    <row r="36" spans="2:28" ht="15" customHeight="1" thickBot="1" thickTop="1">
      <c r="B36" s="701"/>
      <c r="C36" s="698" t="s">
        <v>7</v>
      </c>
      <c r="D36" s="699"/>
      <c r="E36" s="517">
        <f t="shared" si="0"/>
        <v>14914</v>
      </c>
      <c r="F36" s="620">
        <f t="shared" si="1"/>
        <v>2258</v>
      </c>
      <c r="G36" s="519">
        <f t="shared" si="2"/>
        <v>15.1</v>
      </c>
      <c r="H36" s="520">
        <f>SUM(H30:H35)</f>
        <v>6288</v>
      </c>
      <c r="I36" s="518">
        <f>'性別・年齢別対象者数'!U34</f>
        <v>670</v>
      </c>
      <c r="J36" s="519">
        <f t="shared" si="3"/>
        <v>10.7</v>
      </c>
      <c r="K36" s="520">
        <f>SUM(K30:K35)</f>
        <v>8626</v>
      </c>
      <c r="L36" s="533">
        <f>'性別・年齢別対象者数'!AB34</f>
        <v>1588</v>
      </c>
      <c r="M36" s="522">
        <f t="shared" si="4"/>
        <v>18.4</v>
      </c>
      <c r="O36" s="6">
        <v>27</v>
      </c>
      <c r="P36" s="6"/>
      <c r="Q36" s="599" t="s">
        <v>7</v>
      </c>
      <c r="R36" s="604"/>
      <c r="S36" s="604"/>
      <c r="T36" s="604"/>
      <c r="U36" s="600">
        <f t="shared" si="5"/>
        <v>0</v>
      </c>
      <c r="V36" s="486"/>
      <c r="W36" s="486"/>
      <c r="X36" s="486"/>
      <c r="Y36" s="486"/>
      <c r="Z36" s="486"/>
      <c r="AA36" s="486"/>
      <c r="AB36" s="486"/>
    </row>
    <row r="37" spans="2:28" ht="15" customHeight="1">
      <c r="B37" s="705" t="s">
        <v>97</v>
      </c>
      <c r="C37" s="692" t="s">
        <v>24</v>
      </c>
      <c r="D37" s="693"/>
      <c r="E37" s="534">
        <f t="shared" si="0"/>
        <v>11157</v>
      </c>
      <c r="F37" s="619">
        <f t="shared" si="1"/>
        <v>1698</v>
      </c>
      <c r="G37" s="524">
        <f t="shared" si="2"/>
        <v>15.2</v>
      </c>
      <c r="H37" s="535">
        <f>S37</f>
        <v>4530</v>
      </c>
      <c r="I37" s="526">
        <f>'性別・年齢別対象者数'!U35</f>
        <v>470</v>
      </c>
      <c r="J37" s="524">
        <f t="shared" si="3"/>
        <v>10.4</v>
      </c>
      <c r="K37" s="535">
        <f>T37</f>
        <v>6627</v>
      </c>
      <c r="L37" s="536">
        <f>'性別・年齢別対象者数'!AB35</f>
        <v>1228</v>
      </c>
      <c r="M37" s="528">
        <f t="shared" si="4"/>
        <v>18.5</v>
      </c>
      <c r="O37" s="6">
        <v>28</v>
      </c>
      <c r="P37" s="6">
        <v>6</v>
      </c>
      <c r="Q37" s="601" t="s">
        <v>24</v>
      </c>
      <c r="R37" s="605">
        <f>3062+2783+2402+1826+880+183+21</f>
        <v>11157</v>
      </c>
      <c r="S37" s="605">
        <f>1433+1207+962+646+250+29+3</f>
        <v>4530</v>
      </c>
      <c r="T37" s="605">
        <f>1629+1576+1440+1180+630+154+18</f>
        <v>6627</v>
      </c>
      <c r="U37" s="600">
        <f t="shared" si="5"/>
        <v>11157</v>
      </c>
      <c r="V37" s="486"/>
      <c r="W37" s="486"/>
      <c r="X37" s="486"/>
      <c r="Y37" s="486"/>
      <c r="Z37" s="486"/>
      <c r="AA37" s="486"/>
      <c r="AB37" s="486"/>
    </row>
    <row r="38" spans="2:28" ht="15" customHeight="1">
      <c r="B38" s="690"/>
      <c r="C38" s="694" t="s">
        <v>25</v>
      </c>
      <c r="D38" s="695"/>
      <c r="E38" s="503">
        <f t="shared" si="0"/>
        <v>1103</v>
      </c>
      <c r="F38" s="507">
        <f t="shared" si="1"/>
        <v>121</v>
      </c>
      <c r="G38" s="505">
        <f t="shared" si="2"/>
        <v>11</v>
      </c>
      <c r="H38" s="506">
        <f>S38</f>
        <v>441</v>
      </c>
      <c r="I38" s="504">
        <f>'性別・年齢別対象者数'!U36</f>
        <v>32</v>
      </c>
      <c r="J38" s="505">
        <f t="shared" si="3"/>
        <v>7.3</v>
      </c>
      <c r="K38" s="506">
        <f>T38</f>
        <v>662</v>
      </c>
      <c r="L38" s="507">
        <f>'性別・年齢別対象者数'!AB36</f>
        <v>89</v>
      </c>
      <c r="M38" s="508">
        <f t="shared" si="4"/>
        <v>13.4</v>
      </c>
      <c r="O38" s="6">
        <v>29</v>
      </c>
      <c r="P38" s="6">
        <v>26</v>
      </c>
      <c r="Q38" s="599" t="s">
        <v>25</v>
      </c>
      <c r="R38" s="604">
        <f>259+266+273+199+88+13+5</f>
        <v>1103</v>
      </c>
      <c r="S38" s="604">
        <f>128+110+107+67+27+1+1</f>
        <v>441</v>
      </c>
      <c r="T38" s="604">
        <f>131+156+166+132+61+12+4</f>
        <v>662</v>
      </c>
      <c r="U38" s="600">
        <f t="shared" si="5"/>
        <v>1103</v>
      </c>
      <c r="V38" s="486"/>
      <c r="W38" s="486"/>
      <c r="X38" s="486"/>
      <c r="Y38" s="486"/>
      <c r="Z38" s="486"/>
      <c r="AA38" s="486"/>
      <c r="AB38" s="486"/>
    </row>
    <row r="39" spans="2:28" ht="15" customHeight="1">
      <c r="B39" s="690"/>
      <c r="C39" s="694" t="s">
        <v>26</v>
      </c>
      <c r="D39" s="695"/>
      <c r="E39" s="503">
        <f t="shared" si="0"/>
        <v>1189</v>
      </c>
      <c r="F39" s="507">
        <f t="shared" si="1"/>
        <v>54</v>
      </c>
      <c r="G39" s="505">
        <f t="shared" si="2"/>
        <v>4.5</v>
      </c>
      <c r="H39" s="506">
        <f>S39</f>
        <v>427</v>
      </c>
      <c r="I39" s="504">
        <f>'性別・年齢別対象者数'!U37</f>
        <v>21</v>
      </c>
      <c r="J39" s="505">
        <f t="shared" si="3"/>
        <v>4.9</v>
      </c>
      <c r="K39" s="506">
        <f>T39</f>
        <v>762</v>
      </c>
      <c r="L39" s="507">
        <f>'性別・年齢別対象者数'!AB37</f>
        <v>33</v>
      </c>
      <c r="M39" s="508">
        <f t="shared" si="4"/>
        <v>4.3</v>
      </c>
      <c r="O39" s="6">
        <v>30</v>
      </c>
      <c r="P39" s="6">
        <v>26</v>
      </c>
      <c r="Q39" s="599" t="s">
        <v>26</v>
      </c>
      <c r="R39" s="604">
        <f>194+196+224+257+231+70+17</f>
        <v>1189</v>
      </c>
      <c r="S39" s="604">
        <f>101+97+89+71+57+10+2</f>
        <v>427</v>
      </c>
      <c r="T39" s="604">
        <f>93+99+135+186+174+60+15</f>
        <v>762</v>
      </c>
      <c r="U39" s="600">
        <f t="shared" si="5"/>
        <v>1189</v>
      </c>
      <c r="V39" s="486"/>
      <c r="W39" s="486"/>
      <c r="X39" s="486"/>
      <c r="Y39" s="486"/>
      <c r="Z39" s="486"/>
      <c r="AA39" s="486"/>
      <c r="AB39" s="486"/>
    </row>
    <row r="40" spans="2:28" ht="15" customHeight="1">
      <c r="B40" s="690"/>
      <c r="C40" s="694" t="s">
        <v>27</v>
      </c>
      <c r="D40" s="695"/>
      <c r="E40" s="503">
        <f t="shared" si="0"/>
        <v>1499</v>
      </c>
      <c r="F40" s="507">
        <f t="shared" si="1"/>
        <v>135</v>
      </c>
      <c r="G40" s="505">
        <f t="shared" si="2"/>
        <v>9</v>
      </c>
      <c r="H40" s="506">
        <f>S40</f>
        <v>641</v>
      </c>
      <c r="I40" s="504">
        <f>'性別・年齢別対象者数'!U38</f>
        <v>44</v>
      </c>
      <c r="J40" s="505">
        <f t="shared" si="3"/>
        <v>6.9</v>
      </c>
      <c r="K40" s="506">
        <f>T40</f>
        <v>858</v>
      </c>
      <c r="L40" s="507">
        <f>'性別・年齢別対象者数'!AB38</f>
        <v>91</v>
      </c>
      <c r="M40" s="508">
        <f t="shared" si="4"/>
        <v>10.6</v>
      </c>
      <c r="O40" s="6">
        <v>31</v>
      </c>
      <c r="P40" s="6">
        <v>26</v>
      </c>
      <c r="Q40" s="599" t="s">
        <v>27</v>
      </c>
      <c r="R40" s="604">
        <f>412+324+331+268+136+24+4</f>
        <v>1499</v>
      </c>
      <c r="S40" s="604">
        <f>215+150+143+90+37+5+1</f>
        <v>641</v>
      </c>
      <c r="T40" s="604">
        <f>197+174+188+178+99+19+3</f>
        <v>858</v>
      </c>
      <c r="U40" s="600">
        <f t="shared" si="5"/>
        <v>1499</v>
      </c>
      <c r="V40" s="486"/>
      <c r="W40" s="486"/>
      <c r="X40" s="486"/>
      <c r="Y40" s="486"/>
      <c r="Z40" s="486"/>
      <c r="AA40" s="486"/>
      <c r="AB40" s="486"/>
    </row>
    <row r="41" spans="2:28" ht="15" customHeight="1" thickBot="1">
      <c r="B41" s="690"/>
      <c r="C41" s="706" t="s">
        <v>67</v>
      </c>
      <c r="D41" s="707"/>
      <c r="E41" s="530">
        <f t="shared" si="0"/>
        <v>5213</v>
      </c>
      <c r="F41" s="623">
        <f t="shared" si="1"/>
        <v>893</v>
      </c>
      <c r="G41" s="510">
        <f t="shared" si="2"/>
        <v>17.1</v>
      </c>
      <c r="H41" s="531">
        <f>S41</f>
        <v>2099</v>
      </c>
      <c r="I41" s="512">
        <f>'性別・年齢別対象者数'!U39</f>
        <v>255</v>
      </c>
      <c r="J41" s="510">
        <f t="shared" si="3"/>
        <v>12.1</v>
      </c>
      <c r="K41" s="531">
        <f>T41</f>
        <v>3114</v>
      </c>
      <c r="L41" s="513">
        <f>'性別・年齢別対象者数'!AB39</f>
        <v>638</v>
      </c>
      <c r="M41" s="514">
        <f t="shared" si="4"/>
        <v>20.5</v>
      </c>
      <c r="O41" s="6">
        <v>32</v>
      </c>
      <c r="P41" s="6">
        <v>26</v>
      </c>
      <c r="Q41" s="599" t="s">
        <v>67</v>
      </c>
      <c r="R41" s="604">
        <f>1310+1270+1166+897+447+115+8</f>
        <v>5213</v>
      </c>
      <c r="S41" s="604">
        <f>627+556+475+307+103+29+2</f>
        <v>2099</v>
      </c>
      <c r="T41" s="604">
        <f>683+714+691+590+344+86+6</f>
        <v>3114</v>
      </c>
      <c r="U41" s="600">
        <f t="shared" si="5"/>
        <v>5213</v>
      </c>
      <c r="V41" s="486"/>
      <c r="W41" s="486"/>
      <c r="X41" s="486"/>
      <c r="Y41" s="486"/>
      <c r="Z41" s="486"/>
      <c r="AA41" s="486"/>
      <c r="AB41" s="486"/>
    </row>
    <row r="42" spans="2:28" ht="15" customHeight="1" thickBot="1" thickTop="1">
      <c r="B42" s="691"/>
      <c r="C42" s="708" t="s">
        <v>7</v>
      </c>
      <c r="D42" s="709"/>
      <c r="E42" s="539">
        <f t="shared" si="0"/>
        <v>20161</v>
      </c>
      <c r="F42" s="536">
        <f t="shared" si="1"/>
        <v>2901</v>
      </c>
      <c r="G42" s="519">
        <f t="shared" si="2"/>
        <v>14.4</v>
      </c>
      <c r="H42" s="540">
        <f>SUM(H37:H41)</f>
        <v>8138</v>
      </c>
      <c r="I42" s="518">
        <f>'性別・年齢別対象者数'!U40</f>
        <v>822</v>
      </c>
      <c r="J42" s="519">
        <f t="shared" si="3"/>
        <v>10.1</v>
      </c>
      <c r="K42" s="540">
        <f>SUM(K37:K41)</f>
        <v>12023</v>
      </c>
      <c r="L42" s="533">
        <f>'性別・年齢別対象者数'!AB40</f>
        <v>2079</v>
      </c>
      <c r="M42" s="522">
        <f t="shared" si="4"/>
        <v>17.3</v>
      </c>
      <c r="O42" s="6">
        <v>33</v>
      </c>
      <c r="P42" s="6"/>
      <c r="Q42" s="599" t="s">
        <v>7</v>
      </c>
      <c r="R42" s="604"/>
      <c r="S42" s="604"/>
      <c r="T42" s="604"/>
      <c r="U42" s="600">
        <f t="shared" si="5"/>
        <v>0</v>
      </c>
      <c r="V42" s="486"/>
      <c r="W42" s="486"/>
      <c r="X42" s="486"/>
      <c r="Y42" s="486"/>
      <c r="Z42" s="486"/>
      <c r="AA42" s="486"/>
      <c r="AB42" s="486"/>
    </row>
    <row r="43" spans="2:28" ht="15" customHeight="1" thickBot="1">
      <c r="B43" s="700" t="s">
        <v>49</v>
      </c>
      <c r="C43" s="702" t="s">
        <v>31</v>
      </c>
      <c r="D43" s="703"/>
      <c r="E43" s="541">
        <f t="shared" si="0"/>
        <v>39327</v>
      </c>
      <c r="F43" s="619">
        <f t="shared" si="1"/>
        <v>4552</v>
      </c>
      <c r="G43" s="543">
        <f t="shared" si="2"/>
        <v>11.6</v>
      </c>
      <c r="H43" s="486">
        <f>S43</f>
        <v>17165</v>
      </c>
      <c r="I43" s="542">
        <f>'性別・年齢別対象者数'!U41</f>
        <v>1412</v>
      </c>
      <c r="J43" s="543">
        <f t="shared" si="3"/>
        <v>8.2</v>
      </c>
      <c r="K43" s="486">
        <f>T43</f>
        <v>22162</v>
      </c>
      <c r="L43" s="544">
        <f>'性別・年齢別対象者数'!AB41</f>
        <v>3140</v>
      </c>
      <c r="M43" s="545">
        <f t="shared" si="4"/>
        <v>14.2</v>
      </c>
      <c r="O43" s="6">
        <v>34</v>
      </c>
      <c r="P43" s="6">
        <v>5</v>
      </c>
      <c r="Q43" s="601" t="s">
        <v>31</v>
      </c>
      <c r="R43" s="605">
        <f>14181+10472+7241+4440+2209+670+114</f>
        <v>39327</v>
      </c>
      <c r="S43" s="605">
        <f>6891+4938+3112+1504+586+117+17</f>
        <v>17165</v>
      </c>
      <c r="T43" s="605">
        <f>7290+5534+4129+2936+1623+553+97</f>
        <v>22162</v>
      </c>
      <c r="U43" s="600">
        <f t="shared" si="5"/>
        <v>39327</v>
      </c>
      <c r="V43" s="486"/>
      <c r="W43" s="486"/>
      <c r="X43" s="486"/>
      <c r="Y43" s="486"/>
      <c r="Z43" s="486"/>
      <c r="AA43" s="486"/>
      <c r="AB43" s="486"/>
    </row>
    <row r="44" spans="2:28" ht="15" customHeight="1" thickBot="1" thickTop="1">
      <c r="B44" s="701"/>
      <c r="C44" s="698" t="s">
        <v>7</v>
      </c>
      <c r="D44" s="699"/>
      <c r="E44" s="517">
        <f t="shared" si="0"/>
        <v>39327</v>
      </c>
      <c r="F44" s="620">
        <f t="shared" si="1"/>
        <v>4552</v>
      </c>
      <c r="G44" s="519">
        <f t="shared" si="2"/>
        <v>11.6</v>
      </c>
      <c r="H44" s="520">
        <f>H43</f>
        <v>17165</v>
      </c>
      <c r="I44" s="518">
        <f>'性別・年齢別対象者数'!U42</f>
        <v>1412</v>
      </c>
      <c r="J44" s="519">
        <f t="shared" si="3"/>
        <v>8.2</v>
      </c>
      <c r="K44" s="520">
        <f>K43</f>
        <v>22162</v>
      </c>
      <c r="L44" s="533">
        <f>'性別・年齢別対象者数'!AB42</f>
        <v>3140</v>
      </c>
      <c r="M44" s="522">
        <f t="shared" si="4"/>
        <v>14.2</v>
      </c>
      <c r="O44" s="6">
        <v>35</v>
      </c>
      <c r="P44" s="6"/>
      <c r="Q44" s="599" t="s">
        <v>7</v>
      </c>
      <c r="R44" s="604"/>
      <c r="S44" s="604"/>
      <c r="T44" s="604"/>
      <c r="U44" s="600">
        <f t="shared" si="5"/>
        <v>0</v>
      </c>
      <c r="V44" s="486"/>
      <c r="W44" s="486"/>
      <c r="X44" s="486"/>
      <c r="Y44" s="486"/>
      <c r="Z44" s="486"/>
      <c r="AA44" s="486"/>
      <c r="AB44" s="486"/>
    </row>
    <row r="45" spans="2:28" ht="15" customHeight="1">
      <c r="B45" s="700" t="s">
        <v>48</v>
      </c>
      <c r="C45" s="692" t="s">
        <v>30</v>
      </c>
      <c r="D45" s="693"/>
      <c r="E45" s="534">
        <f t="shared" si="0"/>
        <v>28608</v>
      </c>
      <c r="F45" s="619">
        <f t="shared" si="1"/>
        <v>4514</v>
      </c>
      <c r="G45" s="524">
        <f t="shared" si="2"/>
        <v>15.8</v>
      </c>
      <c r="H45" s="535">
        <f>S45</f>
        <v>11631</v>
      </c>
      <c r="I45" s="526">
        <f>'性別・年齢別対象者数'!U43</f>
        <v>1142</v>
      </c>
      <c r="J45" s="524">
        <f t="shared" si="3"/>
        <v>9.8</v>
      </c>
      <c r="K45" s="535">
        <f>T45</f>
        <v>16977</v>
      </c>
      <c r="L45" s="536">
        <f>'性別・年齢別対象者数'!AB43</f>
        <v>3372</v>
      </c>
      <c r="M45" s="528">
        <f t="shared" si="4"/>
        <v>19.9</v>
      </c>
      <c r="O45" s="6">
        <v>36</v>
      </c>
      <c r="P45" s="6">
        <v>3</v>
      </c>
      <c r="Q45" s="601" t="s">
        <v>30</v>
      </c>
      <c r="R45" s="605">
        <f>8842+7647+6005+3842+1759+440+73</f>
        <v>28608</v>
      </c>
      <c r="S45" s="605">
        <f>4096+3330+2433+1232+468+68+4</f>
        <v>11631</v>
      </c>
      <c r="T45" s="605">
        <f>4746+4317+3572+2610+1291+372+69</f>
        <v>16977</v>
      </c>
      <c r="U45" s="600">
        <f t="shared" si="5"/>
        <v>28608</v>
      </c>
      <c r="V45" s="486"/>
      <c r="W45" s="486"/>
      <c r="X45" s="486"/>
      <c r="Y45" s="486"/>
      <c r="Z45" s="486"/>
      <c r="AA45" s="486"/>
      <c r="AB45" s="486"/>
    </row>
    <row r="46" spans="2:28" ht="15" customHeight="1" thickBot="1">
      <c r="B46" s="704"/>
      <c r="C46" s="696" t="s">
        <v>68</v>
      </c>
      <c r="D46" s="697"/>
      <c r="E46" s="530">
        <f t="shared" si="0"/>
        <v>10046</v>
      </c>
      <c r="F46" s="622">
        <f t="shared" si="1"/>
        <v>1323</v>
      </c>
      <c r="G46" s="510">
        <f t="shared" si="2"/>
        <v>13.2</v>
      </c>
      <c r="H46" s="531">
        <f>S46</f>
        <v>4228</v>
      </c>
      <c r="I46" s="512">
        <f>'性別・年齢別対象者数'!U44</f>
        <v>397</v>
      </c>
      <c r="J46" s="510">
        <f t="shared" si="3"/>
        <v>9.4</v>
      </c>
      <c r="K46" s="531">
        <f>T46</f>
        <v>5818</v>
      </c>
      <c r="L46" s="513">
        <f>'性別・年齢別対象者数'!AB44</f>
        <v>926</v>
      </c>
      <c r="M46" s="514">
        <f t="shared" si="4"/>
        <v>15.9</v>
      </c>
      <c r="O46" s="6">
        <v>37</v>
      </c>
      <c r="P46" s="6">
        <v>12</v>
      </c>
      <c r="Q46" s="599" t="s">
        <v>68</v>
      </c>
      <c r="R46" s="604">
        <f>3279+2628+1973+1316+643+177+30</f>
        <v>10046</v>
      </c>
      <c r="S46" s="604">
        <f>1560+1198+814+459+165+29+3</f>
        <v>4228</v>
      </c>
      <c r="T46" s="604">
        <f>1719+1430+1159+857+478+148+27</f>
        <v>5818</v>
      </c>
      <c r="U46" s="600">
        <f t="shared" si="5"/>
        <v>10046</v>
      </c>
      <c r="V46" s="486"/>
      <c r="W46" s="486"/>
      <c r="X46" s="486"/>
      <c r="Y46" s="486"/>
      <c r="Z46" s="486"/>
      <c r="AA46" s="486"/>
      <c r="AB46" s="486"/>
    </row>
    <row r="47" spans="2:28" ht="15" customHeight="1" thickBot="1" thickTop="1">
      <c r="B47" s="701"/>
      <c r="C47" s="698" t="s">
        <v>7</v>
      </c>
      <c r="D47" s="699"/>
      <c r="E47" s="517">
        <f t="shared" si="0"/>
        <v>38654</v>
      </c>
      <c r="F47" s="536">
        <f t="shared" si="1"/>
        <v>5837</v>
      </c>
      <c r="G47" s="519">
        <f t="shared" si="2"/>
        <v>15.1</v>
      </c>
      <c r="H47" s="520">
        <f>SUM(H45:H46)</f>
        <v>15859</v>
      </c>
      <c r="I47" s="518">
        <f>'性別・年齢別対象者数'!U45</f>
        <v>1539</v>
      </c>
      <c r="J47" s="519">
        <f t="shared" si="3"/>
        <v>9.7</v>
      </c>
      <c r="K47" s="520">
        <f>SUM(K45:K46)</f>
        <v>22795</v>
      </c>
      <c r="L47" s="533">
        <f>'性別・年齢別対象者数'!AB45</f>
        <v>4298</v>
      </c>
      <c r="M47" s="522">
        <f t="shared" si="4"/>
        <v>18.9</v>
      </c>
      <c r="O47" s="6">
        <v>38</v>
      </c>
      <c r="P47" s="6"/>
      <c r="Q47" s="599" t="s">
        <v>7</v>
      </c>
      <c r="R47" s="604"/>
      <c r="S47" s="604"/>
      <c r="T47" s="604"/>
      <c r="U47" s="600">
        <f t="shared" si="5"/>
        <v>0</v>
      </c>
      <c r="V47" s="486"/>
      <c r="W47" s="486"/>
      <c r="X47" s="486"/>
      <c r="Y47" s="486"/>
      <c r="Z47" s="486"/>
      <c r="AA47" s="486"/>
      <c r="AB47" s="486"/>
    </row>
    <row r="48" spans="2:28" ht="15" customHeight="1">
      <c r="B48" s="689" t="s">
        <v>50</v>
      </c>
      <c r="C48" s="692" t="s">
        <v>32</v>
      </c>
      <c r="D48" s="693"/>
      <c r="E48" s="534">
        <f t="shared" si="0"/>
        <v>15141</v>
      </c>
      <c r="F48" s="619">
        <f t="shared" si="1"/>
        <v>1897</v>
      </c>
      <c r="G48" s="524">
        <f t="shared" si="2"/>
        <v>12.5</v>
      </c>
      <c r="H48" s="535">
        <f aca="true" t="shared" si="8" ref="H48:H53">S48</f>
        <v>6403</v>
      </c>
      <c r="I48" s="526">
        <f>'性別・年齢別対象者数'!U46</f>
        <v>520</v>
      </c>
      <c r="J48" s="524">
        <f t="shared" si="3"/>
        <v>8.1</v>
      </c>
      <c r="K48" s="535">
        <f aca="true" t="shared" si="9" ref="K48:K53">T48</f>
        <v>8738</v>
      </c>
      <c r="L48" s="536">
        <f>'性別・年齢別対象者数'!AB46</f>
        <v>1377</v>
      </c>
      <c r="M48" s="528">
        <f t="shared" si="4"/>
        <v>15.8</v>
      </c>
      <c r="O48" s="6">
        <v>39</v>
      </c>
      <c r="P48" s="6">
        <v>7</v>
      </c>
      <c r="Q48" s="601" t="s">
        <v>32</v>
      </c>
      <c r="R48" s="605">
        <f>5195+4025+2874+1951+865+204+27</f>
        <v>15141</v>
      </c>
      <c r="S48" s="605">
        <f>2470+1790+1189+707+220+27</f>
        <v>6403</v>
      </c>
      <c r="T48" s="602">
        <f>2725+2235+1685+1244+645+177+27</f>
        <v>8738</v>
      </c>
      <c r="U48" s="600">
        <f t="shared" si="5"/>
        <v>15141</v>
      </c>
      <c r="V48" s="486"/>
      <c r="W48" s="486"/>
      <c r="X48" s="486"/>
      <c r="Y48" s="486"/>
      <c r="Z48" s="486"/>
      <c r="AA48" s="486"/>
      <c r="AB48" s="486"/>
    </row>
    <row r="49" spans="2:28" ht="15" customHeight="1">
      <c r="B49" s="690"/>
      <c r="C49" s="694" t="s">
        <v>33</v>
      </c>
      <c r="D49" s="695"/>
      <c r="E49" s="503">
        <f t="shared" si="0"/>
        <v>2975</v>
      </c>
      <c r="F49" s="507">
        <f t="shared" si="1"/>
        <v>247</v>
      </c>
      <c r="G49" s="505">
        <f t="shared" si="2"/>
        <v>8.3</v>
      </c>
      <c r="H49" s="506">
        <f t="shared" si="8"/>
        <v>1256</v>
      </c>
      <c r="I49" s="504">
        <f>'性別・年齢別対象者数'!U47</f>
        <v>77</v>
      </c>
      <c r="J49" s="505">
        <f t="shared" si="3"/>
        <v>6.1</v>
      </c>
      <c r="K49" s="506">
        <f t="shared" si="9"/>
        <v>1719</v>
      </c>
      <c r="L49" s="507">
        <f>'性別・年齢別対象者数'!AB47</f>
        <v>170</v>
      </c>
      <c r="M49" s="508">
        <f t="shared" si="4"/>
        <v>9.9</v>
      </c>
      <c r="O49" s="6">
        <v>40</v>
      </c>
      <c r="P49" s="6">
        <v>31</v>
      </c>
      <c r="Q49" s="599" t="s">
        <v>33</v>
      </c>
      <c r="R49" s="604">
        <f>1008+733+553+388+233+52+8</f>
        <v>2975</v>
      </c>
      <c r="S49" s="604">
        <f>471+338+244+129+64+8+2</f>
        <v>1256</v>
      </c>
      <c r="T49" s="604">
        <f>537+395+309+259+169+44+6</f>
        <v>1719</v>
      </c>
      <c r="U49" s="600">
        <f t="shared" si="5"/>
        <v>2975</v>
      </c>
      <c r="V49" s="486"/>
      <c r="W49" s="486"/>
      <c r="X49" s="486"/>
      <c r="Y49" s="486"/>
      <c r="Z49" s="486"/>
      <c r="AA49" s="486"/>
      <c r="AB49" s="486"/>
    </row>
    <row r="50" spans="2:28" ht="15" customHeight="1">
      <c r="B50" s="690"/>
      <c r="C50" s="694" t="s">
        <v>34</v>
      </c>
      <c r="D50" s="695"/>
      <c r="E50" s="503">
        <f t="shared" si="0"/>
        <v>2138</v>
      </c>
      <c r="F50" s="507">
        <f t="shared" si="1"/>
        <v>229</v>
      </c>
      <c r="G50" s="505">
        <f t="shared" si="2"/>
        <v>10.7</v>
      </c>
      <c r="H50" s="506">
        <f t="shared" si="8"/>
        <v>946</v>
      </c>
      <c r="I50" s="504">
        <f>'性別・年齢別対象者数'!U48</f>
        <v>85</v>
      </c>
      <c r="J50" s="505">
        <f t="shared" si="3"/>
        <v>9</v>
      </c>
      <c r="K50" s="506">
        <f t="shared" si="9"/>
        <v>1192</v>
      </c>
      <c r="L50" s="507">
        <f>'性別・年齢別対象者数'!AB48</f>
        <v>144</v>
      </c>
      <c r="M50" s="508">
        <f t="shared" si="4"/>
        <v>12.1</v>
      </c>
      <c r="O50" s="6">
        <v>41</v>
      </c>
      <c r="P50" s="6">
        <v>32</v>
      </c>
      <c r="Q50" s="599" t="s">
        <v>34</v>
      </c>
      <c r="R50" s="604">
        <f>759+494+431+280+129+40+5</f>
        <v>2138</v>
      </c>
      <c r="S50" s="604">
        <f>394+230+187+91+36+8</f>
        <v>946</v>
      </c>
      <c r="T50" s="604">
        <f>365+264+244+189+93+32+5</f>
        <v>1192</v>
      </c>
      <c r="U50" s="600">
        <f t="shared" si="5"/>
        <v>2138</v>
      </c>
      <c r="V50" s="486"/>
      <c r="W50" s="486"/>
      <c r="X50" s="486"/>
      <c r="Y50" s="486"/>
      <c r="Z50" s="486"/>
      <c r="AA50" s="486"/>
      <c r="AB50" s="486"/>
    </row>
    <row r="51" spans="2:28" ht="15" customHeight="1">
      <c r="B51" s="690"/>
      <c r="C51" s="694" t="s">
        <v>35</v>
      </c>
      <c r="D51" s="695"/>
      <c r="E51" s="503">
        <f t="shared" si="0"/>
        <v>2171</v>
      </c>
      <c r="F51" s="507">
        <f t="shared" si="1"/>
        <v>246</v>
      </c>
      <c r="G51" s="505">
        <f t="shared" si="2"/>
        <v>11.3</v>
      </c>
      <c r="H51" s="506">
        <f t="shared" si="8"/>
        <v>946</v>
      </c>
      <c r="I51" s="504">
        <f>'性別・年齢別対象者数'!U49</f>
        <v>79</v>
      </c>
      <c r="J51" s="505">
        <f t="shared" si="3"/>
        <v>8.4</v>
      </c>
      <c r="K51" s="506">
        <f t="shared" si="9"/>
        <v>1225</v>
      </c>
      <c r="L51" s="507">
        <f>'性別・年齢別対象者数'!AB49</f>
        <v>167</v>
      </c>
      <c r="M51" s="508">
        <f t="shared" si="4"/>
        <v>13.6</v>
      </c>
      <c r="O51" s="6">
        <v>42</v>
      </c>
      <c r="P51" s="6">
        <v>33</v>
      </c>
      <c r="Q51" s="599" t="s">
        <v>35</v>
      </c>
      <c r="R51" s="604">
        <f>744+514+411+279+165+50+8</f>
        <v>2171</v>
      </c>
      <c r="S51" s="604">
        <f>372+267+164+93+46+3+1</f>
        <v>946</v>
      </c>
      <c r="T51" s="604">
        <f>372+247+247+186+119+47+7</f>
        <v>1225</v>
      </c>
      <c r="U51" s="600">
        <f t="shared" si="5"/>
        <v>2171</v>
      </c>
      <c r="V51" s="486"/>
      <c r="W51" s="486"/>
      <c r="X51" s="486"/>
      <c r="Y51" s="486"/>
      <c r="Z51" s="486"/>
      <c r="AA51" s="486"/>
      <c r="AB51" s="486"/>
    </row>
    <row r="52" spans="2:28" ht="15" customHeight="1">
      <c r="B52" s="690"/>
      <c r="C52" s="694" t="s">
        <v>36</v>
      </c>
      <c r="D52" s="695"/>
      <c r="E52" s="503">
        <f t="shared" si="0"/>
        <v>6127</v>
      </c>
      <c r="F52" s="507">
        <f t="shared" si="1"/>
        <v>807</v>
      </c>
      <c r="G52" s="505">
        <f t="shared" si="2"/>
        <v>13.2</v>
      </c>
      <c r="H52" s="506">
        <f t="shared" si="8"/>
        <v>2739</v>
      </c>
      <c r="I52" s="504">
        <f>'性別・年齢別対象者数'!U50</f>
        <v>271</v>
      </c>
      <c r="J52" s="505">
        <f t="shared" si="3"/>
        <v>9.9</v>
      </c>
      <c r="K52" s="506">
        <f t="shared" si="9"/>
        <v>3388</v>
      </c>
      <c r="L52" s="507">
        <f>'性別・年齢別対象者数'!AB50</f>
        <v>536</v>
      </c>
      <c r="M52" s="508">
        <f t="shared" si="4"/>
        <v>15.8</v>
      </c>
      <c r="O52" s="6">
        <v>43</v>
      </c>
      <c r="P52" s="6">
        <v>34</v>
      </c>
      <c r="Q52" s="599" t="s">
        <v>36</v>
      </c>
      <c r="R52" s="604">
        <f>2378+1688+1068+627+270+86+10</f>
        <v>6127</v>
      </c>
      <c r="S52" s="604">
        <f>1168+838+475+179+62+16+1</f>
        <v>2739</v>
      </c>
      <c r="T52" s="604">
        <f>1210+850+593+448+208+70+9</f>
        <v>3388</v>
      </c>
      <c r="U52" s="600">
        <f t="shared" si="5"/>
        <v>6127</v>
      </c>
      <c r="V52" s="486"/>
      <c r="W52" s="486"/>
      <c r="X52" s="486"/>
      <c r="Y52" s="486"/>
      <c r="Z52" s="486"/>
      <c r="AA52" s="486"/>
      <c r="AB52" s="486"/>
    </row>
    <row r="53" spans="2:28" ht="15" customHeight="1" thickBot="1">
      <c r="B53" s="690"/>
      <c r="C53" s="696" t="s">
        <v>37</v>
      </c>
      <c r="D53" s="697"/>
      <c r="E53" s="530">
        <f t="shared" si="0"/>
        <v>5344</v>
      </c>
      <c r="F53" s="544">
        <f t="shared" si="1"/>
        <v>491</v>
      </c>
      <c r="G53" s="510">
        <f t="shared" si="2"/>
        <v>9.2</v>
      </c>
      <c r="H53" s="531">
        <f t="shared" si="8"/>
        <v>2448</v>
      </c>
      <c r="I53" s="512">
        <f>'性別・年齢別対象者数'!U51</f>
        <v>158</v>
      </c>
      <c r="J53" s="510">
        <f t="shared" si="3"/>
        <v>6.5</v>
      </c>
      <c r="K53" s="531">
        <f t="shared" si="9"/>
        <v>2896</v>
      </c>
      <c r="L53" s="513">
        <f>'性別・年齢別対象者数'!AB51</f>
        <v>333</v>
      </c>
      <c r="M53" s="514">
        <f t="shared" si="4"/>
        <v>11.5</v>
      </c>
      <c r="O53" s="6">
        <v>44</v>
      </c>
      <c r="P53" s="6">
        <v>35</v>
      </c>
      <c r="Q53" s="599" t="s">
        <v>37</v>
      </c>
      <c r="R53" s="604">
        <f>2074+1381+888+604+286+99+12</f>
        <v>5344</v>
      </c>
      <c r="S53" s="604">
        <f>1052+704+402+198+69+20+3</f>
        <v>2448</v>
      </c>
      <c r="T53" s="604">
        <f>1022+677+486+406+217+79+9</f>
        <v>2896</v>
      </c>
      <c r="U53" s="600">
        <f t="shared" si="5"/>
        <v>5344</v>
      </c>
      <c r="V53" s="486"/>
      <c r="W53" s="486"/>
      <c r="X53" s="486"/>
      <c r="Y53" s="486"/>
      <c r="Z53" s="486"/>
      <c r="AA53" s="486"/>
      <c r="AB53" s="486"/>
    </row>
    <row r="54" spans="2:32" s="515" customFormat="1" ht="15" customHeight="1" thickBot="1" thickTop="1">
      <c r="B54" s="691"/>
      <c r="C54" s="698" t="s">
        <v>7</v>
      </c>
      <c r="D54" s="699"/>
      <c r="E54" s="546">
        <f t="shared" si="0"/>
        <v>33896</v>
      </c>
      <c r="F54" s="533">
        <f t="shared" si="1"/>
        <v>3917</v>
      </c>
      <c r="G54" s="519">
        <f t="shared" si="2"/>
        <v>11.6</v>
      </c>
      <c r="H54" s="547">
        <f>SUM(H48:H53)</f>
        <v>14738</v>
      </c>
      <c r="I54" s="518">
        <f>'性別・年齢別対象者数'!U52</f>
        <v>1190</v>
      </c>
      <c r="J54" s="519">
        <f t="shared" si="3"/>
        <v>8.1</v>
      </c>
      <c r="K54" s="547">
        <f>SUM(K48:K53)</f>
        <v>19158</v>
      </c>
      <c r="L54" s="533">
        <f>'性別・年齢別対象者数'!AB52</f>
        <v>2727</v>
      </c>
      <c r="M54" s="522">
        <f t="shared" si="4"/>
        <v>14.2</v>
      </c>
      <c r="O54" s="6">
        <v>45</v>
      </c>
      <c r="P54" s="7"/>
      <c r="Q54" s="599" t="s">
        <v>7</v>
      </c>
      <c r="R54" s="604"/>
      <c r="S54" s="604"/>
      <c r="T54" s="604"/>
      <c r="U54" s="600">
        <f t="shared" si="5"/>
        <v>0</v>
      </c>
      <c r="V54" s="516"/>
      <c r="W54" s="516"/>
      <c r="X54" s="516"/>
      <c r="Y54" s="516"/>
      <c r="Z54" s="516"/>
      <c r="AA54" s="516"/>
      <c r="AB54" s="516"/>
      <c r="AD54" s="484"/>
      <c r="AE54" s="484"/>
      <c r="AF54" s="484"/>
    </row>
    <row r="55" spans="2:28" ht="15" customHeight="1">
      <c r="B55" s="548" t="s">
        <v>38</v>
      </c>
      <c r="C55" s="549"/>
      <c r="D55" s="550"/>
      <c r="E55" s="534">
        <f>H55+K55</f>
        <v>340048</v>
      </c>
      <c r="F55" s="619">
        <f t="shared" si="1"/>
        <v>45496</v>
      </c>
      <c r="G55" s="524">
        <f t="shared" si="2"/>
        <v>13.4</v>
      </c>
      <c r="H55" s="535">
        <f>SUM(H14,H10,H15,H18,H19,H21,H25,H37,H43,H45,H46,H48)</f>
        <v>143881</v>
      </c>
      <c r="I55" s="526">
        <f>'性別・年齢別対象者数'!U53</f>
        <v>12693</v>
      </c>
      <c r="J55" s="524">
        <f t="shared" si="3"/>
        <v>8.8</v>
      </c>
      <c r="K55" s="535">
        <f>SUM(K14,K10,K15,K18,K19,K21,K25,K37,K43,K45,K46,K48)</f>
        <v>196167</v>
      </c>
      <c r="L55" s="536">
        <f>'性別・年齢別対象者数'!AB53</f>
        <v>32803</v>
      </c>
      <c r="M55" s="528">
        <f t="shared" si="4"/>
        <v>16.7</v>
      </c>
      <c r="O55" s="6"/>
      <c r="P55" s="6"/>
      <c r="Q55" s="8"/>
      <c r="R55" s="580"/>
      <c r="S55" s="580"/>
      <c r="T55" s="595"/>
      <c r="U55" s="607">
        <f>SUM(U10:U54)</f>
        <v>401787</v>
      </c>
      <c r="V55" s="486"/>
      <c r="W55" s="486"/>
      <c r="X55" s="486"/>
      <c r="Y55" s="486"/>
      <c r="Z55" s="486"/>
      <c r="AA55" s="486"/>
      <c r="AB55" s="486"/>
    </row>
    <row r="56" spans="2:28" s="515" customFormat="1" ht="15" customHeight="1">
      <c r="B56" s="551" t="s">
        <v>39</v>
      </c>
      <c r="C56" s="552"/>
      <c r="D56" s="553"/>
      <c r="E56" s="554">
        <f>H56+K56</f>
        <v>61739</v>
      </c>
      <c r="F56" s="507">
        <f t="shared" si="1"/>
        <v>7931</v>
      </c>
      <c r="G56" s="505">
        <f t="shared" si="2"/>
        <v>12.8</v>
      </c>
      <c r="H56" s="556">
        <f>H11+H12+H16+H22+H23+H26+H27+H28+H30+H31+H32+H33+H34+H35+H38+H39+H40+H41+H49+H50+H51+H52+H53</f>
        <v>26379</v>
      </c>
      <c r="I56" s="555">
        <f>'性別・年齢別対象者数'!U54</f>
        <v>2404</v>
      </c>
      <c r="J56" s="505">
        <f t="shared" si="3"/>
        <v>9.1</v>
      </c>
      <c r="K56" s="556">
        <f>K11+K12+K16+K22+K23+K26+K27+K28+K30+K31+K32+K33+K34+K35+K38+K39+K40+K41+K49+K50+K51+K52+K53</f>
        <v>35360</v>
      </c>
      <c r="L56" s="555">
        <f>'性別・年齢別対象者数'!AB54</f>
        <v>5527</v>
      </c>
      <c r="M56" s="508">
        <f t="shared" si="4"/>
        <v>15.6</v>
      </c>
      <c r="O56" s="7"/>
      <c r="P56" s="7"/>
      <c r="Q56" s="9"/>
      <c r="R56" s="594"/>
      <c r="S56" s="594"/>
      <c r="T56" s="596"/>
      <c r="U56" s="597"/>
      <c r="V56" s="516"/>
      <c r="W56" s="516"/>
      <c r="X56" s="516"/>
      <c r="Y56" s="516"/>
      <c r="Z56" s="516"/>
      <c r="AA56" s="516"/>
      <c r="AB56" s="516"/>
    </row>
    <row r="57" spans="2:28" ht="15" customHeight="1" thickBot="1">
      <c r="B57" s="557" t="s">
        <v>40</v>
      </c>
      <c r="C57" s="558"/>
      <c r="D57" s="559"/>
      <c r="E57" s="560">
        <f>H57+K57</f>
        <v>401787</v>
      </c>
      <c r="F57" s="621">
        <f t="shared" si="1"/>
        <v>53427</v>
      </c>
      <c r="G57" s="562">
        <f t="shared" si="2"/>
        <v>13.3</v>
      </c>
      <c r="H57" s="561">
        <f>SUM(H13,H17,H20,H24,H29,H36,H42,H44,H47,H54)</f>
        <v>170260</v>
      </c>
      <c r="I57" s="563">
        <f>'性別・年齢別対象者数'!U55</f>
        <v>15097</v>
      </c>
      <c r="J57" s="562">
        <f t="shared" si="3"/>
        <v>8.9</v>
      </c>
      <c r="K57" s="561">
        <f>SUM(K13,K17,K20,K24,K29,K36,K42,K44,K47,K54)</f>
        <v>231527</v>
      </c>
      <c r="L57" s="564">
        <f>'性別・年齢別対象者数'!AB55</f>
        <v>38330</v>
      </c>
      <c r="M57" s="565">
        <f t="shared" si="4"/>
        <v>16.6</v>
      </c>
      <c r="O57" s="6"/>
      <c r="P57" s="6"/>
      <c r="Q57" s="8"/>
      <c r="R57" s="580"/>
      <c r="S57" s="580"/>
      <c r="T57" s="595"/>
      <c r="U57" s="593"/>
      <c r="V57" s="486"/>
      <c r="W57" s="486"/>
      <c r="X57" s="486"/>
      <c r="Y57" s="486"/>
      <c r="Z57" s="486"/>
      <c r="AA57" s="486"/>
      <c r="AB57" s="486"/>
    </row>
    <row r="58" spans="5:28" ht="15" customHeight="1">
      <c r="E58" s="566" t="s">
        <v>105</v>
      </c>
      <c r="H58" s="566"/>
      <c r="I58" s="486"/>
      <c r="J58" s="486"/>
      <c r="K58" s="566"/>
      <c r="L58" s="486"/>
      <c r="M58" s="486"/>
      <c r="N58" s="486"/>
      <c r="O58" s="4"/>
      <c r="P58" s="4"/>
      <c r="Q58" s="17"/>
      <c r="R58" s="595"/>
      <c r="S58" s="595"/>
      <c r="T58" s="595"/>
      <c r="U58" s="593"/>
      <c r="V58" s="486"/>
      <c r="W58" s="486"/>
      <c r="X58" s="486"/>
      <c r="Y58" s="486"/>
      <c r="Z58" s="486"/>
      <c r="AA58" s="486"/>
      <c r="AB58" s="486"/>
    </row>
    <row r="59" spans="8:28" ht="27" customHeight="1">
      <c r="H59" s="687"/>
      <c r="I59" s="688"/>
      <c r="J59" s="688"/>
      <c r="K59" s="688"/>
      <c r="L59" s="688"/>
      <c r="M59" s="688"/>
      <c r="N59" s="486"/>
      <c r="O59" s="4"/>
      <c r="P59" s="4"/>
      <c r="Q59" s="17"/>
      <c r="R59" s="595"/>
      <c r="S59" s="595"/>
      <c r="T59" s="595"/>
      <c r="U59" s="593"/>
      <c r="V59" s="486"/>
      <c r="W59" s="486"/>
      <c r="X59" s="486"/>
      <c r="Y59" s="486"/>
      <c r="Z59" s="486"/>
      <c r="AA59" s="486"/>
      <c r="AB59" s="486"/>
    </row>
    <row r="60" spans="9:28" ht="13.5" customHeight="1">
      <c r="I60" s="483"/>
      <c r="J60" s="483"/>
      <c r="L60" s="483"/>
      <c r="M60" s="483"/>
      <c r="N60" s="486"/>
      <c r="O60" s="4"/>
      <c r="P60" s="4"/>
      <c r="Q60" s="17"/>
      <c r="R60" s="595"/>
      <c r="S60" s="595"/>
      <c r="T60" s="595"/>
      <c r="U60" s="593"/>
      <c r="V60" s="486"/>
      <c r="W60" s="486"/>
      <c r="X60" s="486"/>
      <c r="Y60" s="486"/>
      <c r="Z60" s="486"/>
      <c r="AA60" s="486"/>
      <c r="AB60" s="486"/>
    </row>
    <row r="61" spans="15:21" ht="15" customHeight="1">
      <c r="O61" s="6"/>
      <c r="P61" s="6"/>
      <c r="Q61" s="8"/>
      <c r="R61" s="580"/>
      <c r="S61" s="580"/>
      <c r="T61" s="580"/>
      <c r="U61" s="581"/>
    </row>
    <row r="62" spans="15:21" ht="15" customHeight="1">
      <c r="O62" s="6"/>
      <c r="P62" s="6"/>
      <c r="Q62" s="8"/>
      <c r="R62" s="580"/>
      <c r="S62" s="580"/>
      <c r="T62" s="580"/>
      <c r="U62" s="581"/>
    </row>
  </sheetData>
  <sheetProtection/>
  <mergeCells count="70">
    <mergeCell ref="E3:G3"/>
    <mergeCell ref="H3:J3"/>
    <mergeCell ref="K3:M3"/>
    <mergeCell ref="E4:E9"/>
    <mergeCell ref="F4:F9"/>
    <mergeCell ref="G4:G9"/>
    <mergeCell ref="H4:H9"/>
    <mergeCell ref="I4:I9"/>
    <mergeCell ref="J4:J9"/>
    <mergeCell ref="K4:K9"/>
    <mergeCell ref="L4:L9"/>
    <mergeCell ref="M4:M9"/>
    <mergeCell ref="B10:B13"/>
    <mergeCell ref="C10:D10"/>
    <mergeCell ref="C11:D11"/>
    <mergeCell ref="C12:D12"/>
    <mergeCell ref="C13:D13"/>
    <mergeCell ref="B3:B9"/>
    <mergeCell ref="C3:D9"/>
    <mergeCell ref="B14:B17"/>
    <mergeCell ref="C14:D14"/>
    <mergeCell ref="C15:D15"/>
    <mergeCell ref="C16:D16"/>
    <mergeCell ref="C17:D17"/>
    <mergeCell ref="B18:B20"/>
    <mergeCell ref="C18:D18"/>
    <mergeCell ref="C19:D19"/>
    <mergeCell ref="C20:D20"/>
    <mergeCell ref="B21:B24"/>
    <mergeCell ref="C21:D21"/>
    <mergeCell ref="C22:D22"/>
    <mergeCell ref="C23:D23"/>
    <mergeCell ref="C24:D24"/>
    <mergeCell ref="B25:B29"/>
    <mergeCell ref="C25:D25"/>
    <mergeCell ref="C26:D26"/>
    <mergeCell ref="C27:D27"/>
    <mergeCell ref="C28:D28"/>
    <mergeCell ref="C29:D29"/>
    <mergeCell ref="B30:B36"/>
    <mergeCell ref="C30:D30"/>
    <mergeCell ref="C31:D31"/>
    <mergeCell ref="C32:D32"/>
    <mergeCell ref="C33:D33"/>
    <mergeCell ref="C34:D34"/>
    <mergeCell ref="C35:D35"/>
    <mergeCell ref="C36:D36"/>
    <mergeCell ref="B37:B42"/>
    <mergeCell ref="C37:D37"/>
    <mergeCell ref="C38:D38"/>
    <mergeCell ref="C39:D39"/>
    <mergeCell ref="C40:D40"/>
    <mergeCell ref="C41:D41"/>
    <mergeCell ref="C42:D42"/>
    <mergeCell ref="B43:B44"/>
    <mergeCell ref="C43:D43"/>
    <mergeCell ref="C44:D44"/>
    <mergeCell ref="B45:B47"/>
    <mergeCell ref="C45:D45"/>
    <mergeCell ref="C46:D46"/>
    <mergeCell ref="C47:D47"/>
    <mergeCell ref="H59:M59"/>
    <mergeCell ref="B48:B54"/>
    <mergeCell ref="C48:D48"/>
    <mergeCell ref="C49:D49"/>
    <mergeCell ref="C50:D50"/>
    <mergeCell ref="C51:D51"/>
    <mergeCell ref="C52:D52"/>
    <mergeCell ref="C53:D53"/>
    <mergeCell ref="C54:D54"/>
  </mergeCells>
  <printOptions horizontalCentered="1"/>
  <pageMargins left="0.5905511811023623" right="0.5905511811023623" top="0.3937007874015748" bottom="0.3937007874015748" header="0.5905511811023623" footer="0.2755905511811024"/>
  <pageSetup firstPageNumber="5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F58"/>
  <sheetViews>
    <sheetView view="pageBreakPreview" zoomScale="85" zoomScaleNormal="85" zoomScaleSheetLayoutView="85" zoomScalePageLayoutView="0" workbookViewId="0" topLeftCell="A1">
      <pane xSplit="4" ySplit="7" topLeftCell="N56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A58" sqref="A58:IV58"/>
    </sheetView>
  </sheetViews>
  <sheetFormatPr defaultColWidth="10.00390625" defaultRowHeight="15" customHeight="1"/>
  <cols>
    <col min="1" max="1" width="0.12890625" style="6" customWidth="1"/>
    <col min="2" max="2" width="9.50390625" style="1" customWidth="1"/>
    <col min="3" max="3" width="3.00390625" style="1" customWidth="1"/>
    <col min="4" max="4" width="11.75390625" style="2" customWidth="1"/>
    <col min="5" max="12" width="12.00390625" style="6" customWidth="1"/>
    <col min="13" max="28" width="7.375" style="6" customWidth="1"/>
    <col min="29" max="29" width="3.25390625" style="6" customWidth="1"/>
    <col min="30" max="16384" width="10.00390625" style="6" customWidth="1"/>
  </cols>
  <sheetData>
    <row r="1" spans="1:31" ht="18" customHeight="1">
      <c r="A1" s="7"/>
      <c r="C1" s="24"/>
      <c r="D1" s="25"/>
      <c r="E1" s="24" t="s">
        <v>99</v>
      </c>
      <c r="F1" s="27"/>
      <c r="G1" s="27"/>
      <c r="H1" s="27"/>
      <c r="I1" s="27"/>
      <c r="J1" s="29"/>
      <c r="K1" s="28"/>
      <c r="L1" s="28"/>
      <c r="M1" s="30"/>
      <c r="N1" s="27"/>
      <c r="O1" s="27"/>
      <c r="P1" s="27"/>
      <c r="Q1" s="27"/>
      <c r="R1" s="27"/>
      <c r="S1" s="28"/>
      <c r="T1" s="28"/>
      <c r="U1" s="30"/>
      <c r="V1" s="27"/>
      <c r="W1" s="27"/>
      <c r="X1" s="27"/>
      <c r="Y1" s="29"/>
      <c r="Z1" s="27"/>
      <c r="AA1" s="28"/>
      <c r="AB1" s="28"/>
      <c r="AC1" s="7"/>
      <c r="AD1" s="7"/>
      <c r="AE1" s="7"/>
    </row>
    <row r="2" spans="1:31" ht="13.5" customHeight="1" thickBot="1">
      <c r="A2" s="7"/>
      <c r="B2" s="24"/>
      <c r="C2" s="24"/>
      <c r="D2" s="25"/>
      <c r="E2" s="24"/>
      <c r="F2" s="27"/>
      <c r="G2" s="27"/>
      <c r="H2" s="27"/>
      <c r="I2" s="27"/>
      <c r="J2" s="29"/>
      <c r="K2" s="28"/>
      <c r="L2" s="28"/>
      <c r="M2" s="30"/>
      <c r="N2" s="27"/>
      <c r="O2" s="27"/>
      <c r="P2" s="27"/>
      <c r="Q2" s="27"/>
      <c r="R2" s="27"/>
      <c r="S2" s="28"/>
      <c r="T2" s="28"/>
      <c r="U2" s="30"/>
      <c r="V2" s="27"/>
      <c r="W2" s="27"/>
      <c r="X2" s="27"/>
      <c r="Y2" s="29"/>
      <c r="Z2" s="27"/>
      <c r="AA2" s="28"/>
      <c r="AB2" s="28"/>
      <c r="AC2" s="7"/>
      <c r="AD2" s="7"/>
      <c r="AE2" s="7"/>
    </row>
    <row r="3" spans="1:31" ht="15" customHeight="1" thickBot="1">
      <c r="A3" s="7"/>
      <c r="B3" s="661" t="s">
        <v>95</v>
      </c>
      <c r="C3" s="764" t="s">
        <v>42</v>
      </c>
      <c r="D3" s="765"/>
      <c r="E3" s="785" t="s">
        <v>61</v>
      </c>
      <c r="F3" s="786"/>
      <c r="G3" s="786"/>
      <c r="H3" s="786"/>
      <c r="I3" s="786"/>
      <c r="J3" s="786"/>
      <c r="K3" s="786"/>
      <c r="L3" s="787"/>
      <c r="M3" s="773" t="s">
        <v>62</v>
      </c>
      <c r="N3" s="774"/>
      <c r="O3" s="774"/>
      <c r="P3" s="774"/>
      <c r="Q3" s="774"/>
      <c r="R3" s="774"/>
      <c r="S3" s="774"/>
      <c r="T3" s="775"/>
      <c r="U3" s="773" t="s">
        <v>63</v>
      </c>
      <c r="V3" s="774"/>
      <c r="W3" s="774"/>
      <c r="X3" s="774"/>
      <c r="Y3" s="774"/>
      <c r="Z3" s="774"/>
      <c r="AA3" s="774"/>
      <c r="AB3" s="775"/>
      <c r="AC3" s="7"/>
      <c r="AD3" s="7"/>
      <c r="AE3" s="7"/>
    </row>
    <row r="4" spans="1:31" ht="15" customHeight="1">
      <c r="A4" s="7"/>
      <c r="B4" s="662"/>
      <c r="C4" s="766"/>
      <c r="D4" s="767"/>
      <c r="E4" s="797" t="s">
        <v>55</v>
      </c>
      <c r="F4" s="788" t="s">
        <v>56</v>
      </c>
      <c r="G4" s="788" t="s">
        <v>57</v>
      </c>
      <c r="H4" s="788" t="s">
        <v>58</v>
      </c>
      <c r="I4" s="788" t="s">
        <v>59</v>
      </c>
      <c r="J4" s="788" t="s">
        <v>60</v>
      </c>
      <c r="K4" s="791" t="s">
        <v>5</v>
      </c>
      <c r="L4" s="794" t="s">
        <v>53</v>
      </c>
      <c r="M4" s="779" t="s">
        <v>55</v>
      </c>
      <c r="N4" s="782" t="s">
        <v>56</v>
      </c>
      <c r="O4" s="782" t="s">
        <v>57</v>
      </c>
      <c r="P4" s="782" t="s">
        <v>58</v>
      </c>
      <c r="Q4" s="782" t="s">
        <v>59</v>
      </c>
      <c r="R4" s="782" t="s">
        <v>60</v>
      </c>
      <c r="S4" s="770" t="s">
        <v>5</v>
      </c>
      <c r="T4" s="776" t="s">
        <v>53</v>
      </c>
      <c r="U4" s="779" t="s">
        <v>55</v>
      </c>
      <c r="V4" s="782" t="s">
        <v>56</v>
      </c>
      <c r="W4" s="782" t="s">
        <v>57</v>
      </c>
      <c r="X4" s="782" t="s">
        <v>58</v>
      </c>
      <c r="Y4" s="782" t="s">
        <v>59</v>
      </c>
      <c r="Z4" s="782" t="s">
        <v>60</v>
      </c>
      <c r="AA4" s="770" t="s">
        <v>5</v>
      </c>
      <c r="AB4" s="776" t="s">
        <v>53</v>
      </c>
      <c r="AC4" s="7"/>
      <c r="AD4" s="7"/>
      <c r="AE4" s="7"/>
    </row>
    <row r="5" spans="1:31" ht="15" customHeight="1">
      <c r="A5" s="7"/>
      <c r="B5" s="662"/>
      <c r="C5" s="766"/>
      <c r="D5" s="767"/>
      <c r="E5" s="798"/>
      <c r="F5" s="789"/>
      <c r="G5" s="789"/>
      <c r="H5" s="789"/>
      <c r="I5" s="789"/>
      <c r="J5" s="789"/>
      <c r="K5" s="792"/>
      <c r="L5" s="795"/>
      <c r="M5" s="780"/>
      <c r="N5" s="783"/>
      <c r="O5" s="783"/>
      <c r="P5" s="783"/>
      <c r="Q5" s="783"/>
      <c r="R5" s="783"/>
      <c r="S5" s="771"/>
      <c r="T5" s="777"/>
      <c r="U5" s="780"/>
      <c r="V5" s="783"/>
      <c r="W5" s="783"/>
      <c r="X5" s="783"/>
      <c r="Y5" s="783"/>
      <c r="Z5" s="783"/>
      <c r="AA5" s="771"/>
      <c r="AB5" s="777"/>
      <c r="AC5" s="7"/>
      <c r="AD5" s="7"/>
      <c r="AE5" s="7"/>
    </row>
    <row r="6" spans="1:31" ht="18" customHeight="1">
      <c r="A6" s="7"/>
      <c r="B6" s="662"/>
      <c r="C6" s="766"/>
      <c r="D6" s="767"/>
      <c r="E6" s="798"/>
      <c r="F6" s="789"/>
      <c r="G6" s="789"/>
      <c r="H6" s="789"/>
      <c r="I6" s="789"/>
      <c r="J6" s="789"/>
      <c r="K6" s="792"/>
      <c r="L6" s="795"/>
      <c r="M6" s="780"/>
      <c r="N6" s="783"/>
      <c r="O6" s="783"/>
      <c r="P6" s="783"/>
      <c r="Q6" s="783"/>
      <c r="R6" s="783"/>
      <c r="S6" s="771"/>
      <c r="T6" s="777"/>
      <c r="U6" s="780"/>
      <c r="V6" s="783"/>
      <c r="W6" s="783"/>
      <c r="X6" s="783"/>
      <c r="Y6" s="783"/>
      <c r="Z6" s="783"/>
      <c r="AA6" s="771"/>
      <c r="AB6" s="777"/>
      <c r="AC6" s="7"/>
      <c r="AD6" s="7"/>
      <c r="AE6" s="7"/>
    </row>
    <row r="7" spans="1:31" ht="130.5" customHeight="1" thickBot="1">
      <c r="A7" s="7"/>
      <c r="B7" s="663"/>
      <c r="C7" s="768"/>
      <c r="D7" s="769"/>
      <c r="E7" s="799"/>
      <c r="F7" s="790"/>
      <c r="G7" s="790"/>
      <c r="H7" s="790"/>
      <c r="I7" s="790"/>
      <c r="J7" s="790"/>
      <c r="K7" s="793"/>
      <c r="L7" s="796"/>
      <c r="M7" s="781"/>
      <c r="N7" s="784"/>
      <c r="O7" s="784"/>
      <c r="P7" s="784"/>
      <c r="Q7" s="784"/>
      <c r="R7" s="784"/>
      <c r="S7" s="772"/>
      <c r="T7" s="778"/>
      <c r="U7" s="781"/>
      <c r="V7" s="784"/>
      <c r="W7" s="784"/>
      <c r="X7" s="784"/>
      <c r="Y7" s="784"/>
      <c r="Z7" s="784"/>
      <c r="AA7" s="772"/>
      <c r="AB7" s="778"/>
      <c r="AC7" s="7"/>
      <c r="AD7" s="7"/>
      <c r="AE7" s="7"/>
    </row>
    <row r="8" spans="1:31" ht="19.5" customHeight="1">
      <c r="A8" s="7"/>
      <c r="B8" s="624" t="s">
        <v>44</v>
      </c>
      <c r="C8" s="746" t="s">
        <v>10</v>
      </c>
      <c r="D8" s="747"/>
      <c r="E8" s="181">
        <f aca="true" t="shared" si="0" ref="E8:K8">M8+U8</f>
        <v>795</v>
      </c>
      <c r="F8" s="182">
        <f t="shared" si="0"/>
        <v>888</v>
      </c>
      <c r="G8" s="182">
        <f t="shared" si="0"/>
        <v>333</v>
      </c>
      <c r="H8" s="183">
        <f t="shared" si="0"/>
        <v>143</v>
      </c>
      <c r="I8" s="183">
        <f t="shared" si="0"/>
        <v>57</v>
      </c>
      <c r="J8" s="183">
        <f t="shared" si="0"/>
        <v>29</v>
      </c>
      <c r="K8" s="184">
        <f t="shared" si="0"/>
        <v>123</v>
      </c>
      <c r="L8" s="185">
        <f aca="true" t="shared" si="1" ref="L8:L49">SUM(E8:K8)</f>
        <v>2368</v>
      </c>
      <c r="M8" s="345">
        <v>227</v>
      </c>
      <c r="N8" s="346">
        <v>281</v>
      </c>
      <c r="O8" s="346">
        <v>82</v>
      </c>
      <c r="P8" s="348">
        <v>21</v>
      </c>
      <c r="Q8" s="348">
        <v>12</v>
      </c>
      <c r="R8" s="348">
        <v>13</v>
      </c>
      <c r="S8" s="349">
        <v>48</v>
      </c>
      <c r="T8" s="170">
        <f aca="true" t="shared" si="2" ref="T8:T49">SUM(M8:S8)</f>
        <v>684</v>
      </c>
      <c r="U8" s="345">
        <v>568</v>
      </c>
      <c r="V8" s="346">
        <v>607</v>
      </c>
      <c r="W8" s="346">
        <v>251</v>
      </c>
      <c r="X8" s="348">
        <v>122</v>
      </c>
      <c r="Y8" s="348">
        <v>45</v>
      </c>
      <c r="Z8" s="348">
        <v>16</v>
      </c>
      <c r="AA8" s="349">
        <v>75</v>
      </c>
      <c r="AB8" s="170">
        <f aca="true" t="shared" si="3" ref="AB8:AB17">SUM(U8:AA8)</f>
        <v>1684</v>
      </c>
      <c r="AC8" s="7"/>
      <c r="AD8" s="7"/>
      <c r="AE8" s="7"/>
    </row>
    <row r="9" spans="2:32" s="7" customFormat="1" ht="19.5" customHeight="1">
      <c r="B9" s="625"/>
      <c r="C9" s="760" t="s">
        <v>11</v>
      </c>
      <c r="D9" s="761"/>
      <c r="E9" s="186">
        <f aca="true" t="shared" si="4" ref="E9:K10">M9+U9</f>
        <v>108</v>
      </c>
      <c r="F9" s="187">
        <f t="shared" si="4"/>
        <v>86</v>
      </c>
      <c r="G9" s="187">
        <f t="shared" si="4"/>
        <v>33</v>
      </c>
      <c r="H9" s="188">
        <f t="shared" si="4"/>
        <v>12</v>
      </c>
      <c r="I9" s="188">
        <f t="shared" si="4"/>
        <v>5</v>
      </c>
      <c r="J9" s="188">
        <f t="shared" si="4"/>
        <v>4</v>
      </c>
      <c r="K9" s="189">
        <f t="shared" si="4"/>
        <v>4</v>
      </c>
      <c r="L9" s="190">
        <f t="shared" si="1"/>
        <v>252</v>
      </c>
      <c r="M9" s="350">
        <v>31</v>
      </c>
      <c r="N9" s="351">
        <v>25</v>
      </c>
      <c r="O9" s="351">
        <v>8</v>
      </c>
      <c r="P9" s="352">
        <v>2</v>
      </c>
      <c r="Q9" s="352">
        <v>0</v>
      </c>
      <c r="R9" s="352">
        <v>1</v>
      </c>
      <c r="S9" s="353">
        <v>2</v>
      </c>
      <c r="T9" s="191">
        <f t="shared" si="2"/>
        <v>69</v>
      </c>
      <c r="U9" s="350">
        <v>77</v>
      </c>
      <c r="V9" s="351">
        <v>61</v>
      </c>
      <c r="W9" s="351">
        <v>25</v>
      </c>
      <c r="X9" s="352">
        <v>10</v>
      </c>
      <c r="Y9" s="352">
        <v>5</v>
      </c>
      <c r="Z9" s="352">
        <v>3</v>
      </c>
      <c r="AA9" s="353">
        <v>2</v>
      </c>
      <c r="AB9" s="191">
        <f t="shared" si="3"/>
        <v>183</v>
      </c>
      <c r="AD9" s="7">
        <f>IF(T9='性別・年齢別対象者数'!E9,"","ｴﾗｰ")</f>
      </c>
      <c r="AE9" s="7">
        <f>IF(AB9='性別・年齢別対象者数'!F9,"","ｴﾗｰ")</f>
      </c>
      <c r="AF9" s="6">
        <f>IF(L9='性別・年齢別対象者数'!G9,"","ｴﾗｰ")</f>
      </c>
    </row>
    <row r="10" spans="1:32" ht="19.5" customHeight="1" thickBot="1">
      <c r="A10" s="7"/>
      <c r="B10" s="625"/>
      <c r="C10" s="762" t="s">
        <v>12</v>
      </c>
      <c r="D10" s="763"/>
      <c r="E10" s="192">
        <f t="shared" si="4"/>
        <v>96</v>
      </c>
      <c r="F10" s="193">
        <f t="shared" si="4"/>
        <v>93</v>
      </c>
      <c r="G10" s="193">
        <f t="shared" si="4"/>
        <v>78</v>
      </c>
      <c r="H10" s="194">
        <f t="shared" si="4"/>
        <v>25</v>
      </c>
      <c r="I10" s="194">
        <f t="shared" si="4"/>
        <v>11</v>
      </c>
      <c r="J10" s="194">
        <f t="shared" si="4"/>
        <v>7</v>
      </c>
      <c r="K10" s="195">
        <f t="shared" si="4"/>
        <v>17</v>
      </c>
      <c r="L10" s="196">
        <f t="shared" si="1"/>
        <v>327</v>
      </c>
      <c r="M10" s="354">
        <v>37</v>
      </c>
      <c r="N10" s="355">
        <v>32</v>
      </c>
      <c r="O10" s="355">
        <v>22</v>
      </c>
      <c r="P10" s="356">
        <v>4</v>
      </c>
      <c r="Q10" s="356">
        <v>2</v>
      </c>
      <c r="R10" s="356">
        <v>2</v>
      </c>
      <c r="S10" s="357">
        <v>7</v>
      </c>
      <c r="T10" s="197">
        <f t="shared" si="2"/>
        <v>106</v>
      </c>
      <c r="U10" s="354">
        <v>59</v>
      </c>
      <c r="V10" s="355">
        <v>61</v>
      </c>
      <c r="W10" s="355">
        <v>56</v>
      </c>
      <c r="X10" s="356">
        <v>21</v>
      </c>
      <c r="Y10" s="356">
        <v>9</v>
      </c>
      <c r="Z10" s="356">
        <v>5</v>
      </c>
      <c r="AA10" s="357">
        <v>10</v>
      </c>
      <c r="AB10" s="197">
        <f t="shared" si="3"/>
        <v>221</v>
      </c>
      <c r="AC10" s="7"/>
      <c r="AD10" s="7">
        <f>IF(T10='性別・年齢別対象者数'!E10,"","ｴﾗｰ")</f>
      </c>
      <c r="AE10" s="7">
        <f>IF(AB10='性別・年齢別対象者数'!F10,"","ｴﾗｰ")</f>
      </c>
      <c r="AF10" s="6">
        <f>IF(L10='性別・年齢別対象者数'!G10,"","ｴﾗｰ")</f>
      </c>
    </row>
    <row r="11" spans="2:32" s="7" customFormat="1" ht="19.5" customHeight="1" thickBot="1" thickTop="1">
      <c r="B11" s="626"/>
      <c r="C11" s="752" t="s">
        <v>7</v>
      </c>
      <c r="D11" s="753"/>
      <c r="E11" s="171">
        <f aca="true" t="shared" si="5" ref="E11:K11">SUM(E8:E10)</f>
        <v>999</v>
      </c>
      <c r="F11" s="172">
        <f t="shared" si="5"/>
        <v>1067</v>
      </c>
      <c r="G11" s="172">
        <f t="shared" si="5"/>
        <v>444</v>
      </c>
      <c r="H11" s="173">
        <f t="shared" si="5"/>
        <v>180</v>
      </c>
      <c r="I11" s="173">
        <f t="shared" si="5"/>
        <v>73</v>
      </c>
      <c r="J11" s="173">
        <f t="shared" si="5"/>
        <v>40</v>
      </c>
      <c r="K11" s="174">
        <f t="shared" si="5"/>
        <v>144</v>
      </c>
      <c r="L11" s="175">
        <f t="shared" si="1"/>
        <v>2947</v>
      </c>
      <c r="M11" s="176">
        <f aca="true" t="shared" si="6" ref="M11:S11">SUM(M8:M10)</f>
        <v>295</v>
      </c>
      <c r="N11" s="177">
        <f t="shared" si="6"/>
        <v>338</v>
      </c>
      <c r="O11" s="177">
        <f t="shared" si="6"/>
        <v>112</v>
      </c>
      <c r="P11" s="178">
        <f t="shared" si="6"/>
        <v>27</v>
      </c>
      <c r="Q11" s="178">
        <f t="shared" si="6"/>
        <v>14</v>
      </c>
      <c r="R11" s="178">
        <f t="shared" si="6"/>
        <v>16</v>
      </c>
      <c r="S11" s="179">
        <f t="shared" si="6"/>
        <v>57</v>
      </c>
      <c r="T11" s="180">
        <f t="shared" si="2"/>
        <v>859</v>
      </c>
      <c r="U11" s="176">
        <f aca="true" t="shared" si="7" ref="U11:AA11">SUM(U8:U10)</f>
        <v>704</v>
      </c>
      <c r="V11" s="177">
        <f t="shared" si="7"/>
        <v>729</v>
      </c>
      <c r="W11" s="177">
        <f t="shared" si="7"/>
        <v>332</v>
      </c>
      <c r="X11" s="178">
        <f t="shared" si="7"/>
        <v>153</v>
      </c>
      <c r="Y11" s="178">
        <f t="shared" si="7"/>
        <v>59</v>
      </c>
      <c r="Z11" s="178">
        <f t="shared" si="7"/>
        <v>24</v>
      </c>
      <c r="AA11" s="179">
        <f t="shared" si="7"/>
        <v>87</v>
      </c>
      <c r="AB11" s="180">
        <f t="shared" si="3"/>
        <v>2088</v>
      </c>
      <c r="AD11" s="7">
        <f>IF(T11='性別・年齢別対象者数'!E11,"","ｴﾗｰ")</f>
      </c>
      <c r="AE11" s="7">
        <f>IF(AB11='性別・年齢別対象者数'!F11,"","ｴﾗｰ")</f>
      </c>
      <c r="AF11" s="6">
        <f>IF(L11='性別・年齢別対象者数'!G11,"","ｴﾗｰ")</f>
      </c>
    </row>
    <row r="12" spans="1:32" ht="19.5" customHeight="1">
      <c r="A12" s="7"/>
      <c r="B12" s="624" t="s">
        <v>47</v>
      </c>
      <c r="C12" s="746" t="s">
        <v>6</v>
      </c>
      <c r="D12" s="747"/>
      <c r="E12" s="165">
        <f aca="true" t="shared" si="8" ref="E12:K12">M12+U12</f>
        <v>3147</v>
      </c>
      <c r="F12" s="166">
        <f t="shared" si="8"/>
        <v>3138</v>
      </c>
      <c r="G12" s="166">
        <f t="shared" si="8"/>
        <v>1326</v>
      </c>
      <c r="H12" s="167">
        <f t="shared" si="8"/>
        <v>533</v>
      </c>
      <c r="I12" s="167">
        <f t="shared" si="8"/>
        <v>243</v>
      </c>
      <c r="J12" s="167">
        <f t="shared" si="8"/>
        <v>125</v>
      </c>
      <c r="K12" s="168">
        <f t="shared" si="8"/>
        <v>66</v>
      </c>
      <c r="L12" s="169">
        <f>SUM(E12:K12)</f>
        <v>8578</v>
      </c>
      <c r="M12" s="363">
        <v>863</v>
      </c>
      <c r="N12" s="364">
        <v>914</v>
      </c>
      <c r="O12" s="364">
        <v>268</v>
      </c>
      <c r="P12" s="365">
        <v>85</v>
      </c>
      <c r="Q12" s="365">
        <v>59</v>
      </c>
      <c r="R12" s="365">
        <v>33</v>
      </c>
      <c r="S12" s="366">
        <v>21</v>
      </c>
      <c r="T12" s="479">
        <f>SUM(M12:S12)</f>
        <v>2243</v>
      </c>
      <c r="U12" s="363">
        <v>2284</v>
      </c>
      <c r="V12" s="364">
        <v>2224</v>
      </c>
      <c r="W12" s="364">
        <v>1058</v>
      </c>
      <c r="X12" s="365">
        <v>448</v>
      </c>
      <c r="Y12" s="365">
        <v>184</v>
      </c>
      <c r="Z12" s="365">
        <v>92</v>
      </c>
      <c r="AA12" s="366">
        <v>45</v>
      </c>
      <c r="AB12" s="479">
        <f>SUM(U12:AA12)</f>
        <v>6335</v>
      </c>
      <c r="AC12" s="7"/>
      <c r="AD12" s="7">
        <f>IF(T12='性別・年齢別対象者数'!E12,"","ｴﾗｰ")</f>
      </c>
      <c r="AE12" s="7">
        <f>IF(AB12='性別・年齢別対象者数'!F12,"","ｴﾗｰ")</f>
      </c>
      <c r="AF12" s="6">
        <f>IF(L12='性別・年齢別対象者数'!G12,"","ｴﾗｰ")</f>
      </c>
    </row>
    <row r="13" spans="1:32" ht="19.5" customHeight="1">
      <c r="A13" s="7"/>
      <c r="B13" s="625"/>
      <c r="C13" s="758" t="s">
        <v>28</v>
      </c>
      <c r="D13" s="759"/>
      <c r="E13" s="181">
        <f aca="true" t="shared" si="9" ref="E13:K13">M13+U13</f>
        <v>1815</v>
      </c>
      <c r="F13" s="182">
        <f t="shared" si="9"/>
        <v>1543</v>
      </c>
      <c r="G13" s="182">
        <f t="shared" si="9"/>
        <v>762</v>
      </c>
      <c r="H13" s="183">
        <f t="shared" si="9"/>
        <v>326</v>
      </c>
      <c r="I13" s="183">
        <f t="shared" si="9"/>
        <v>140</v>
      </c>
      <c r="J13" s="183">
        <f t="shared" si="9"/>
        <v>60</v>
      </c>
      <c r="K13" s="184">
        <f t="shared" si="9"/>
        <v>0</v>
      </c>
      <c r="L13" s="185">
        <f t="shared" si="1"/>
        <v>4646</v>
      </c>
      <c r="M13" s="345">
        <v>573</v>
      </c>
      <c r="N13" s="346">
        <v>526</v>
      </c>
      <c r="O13" s="346">
        <v>187</v>
      </c>
      <c r="P13" s="348">
        <v>52</v>
      </c>
      <c r="Q13" s="348">
        <v>33</v>
      </c>
      <c r="R13" s="348">
        <v>24</v>
      </c>
      <c r="S13" s="349">
        <v>0</v>
      </c>
      <c r="T13" s="170">
        <f t="shared" si="2"/>
        <v>1395</v>
      </c>
      <c r="U13" s="345">
        <v>1242</v>
      </c>
      <c r="V13" s="346">
        <v>1017</v>
      </c>
      <c r="W13" s="346">
        <v>575</v>
      </c>
      <c r="X13" s="348">
        <v>274</v>
      </c>
      <c r="Y13" s="348">
        <v>107</v>
      </c>
      <c r="Z13" s="348">
        <v>36</v>
      </c>
      <c r="AA13" s="349">
        <v>0</v>
      </c>
      <c r="AB13" s="170">
        <f t="shared" si="3"/>
        <v>3251</v>
      </c>
      <c r="AC13" s="7"/>
      <c r="AD13" s="7">
        <f>IF(T13='性別・年齢別対象者数'!E13,"","ｴﾗｰ")</f>
      </c>
      <c r="AE13" s="7">
        <f>IF(AB13='性別・年齢別対象者数'!F13,"","ｴﾗｰ")</f>
      </c>
      <c r="AF13" s="6">
        <f>IF(L13='性別・年齢別対象者数'!G13,"","ｴﾗｰ")</f>
      </c>
    </row>
    <row r="14" spans="1:32" ht="19.5" customHeight="1" thickBot="1">
      <c r="A14" s="7"/>
      <c r="B14" s="625"/>
      <c r="C14" s="742" t="s">
        <v>29</v>
      </c>
      <c r="D14" s="743"/>
      <c r="E14" s="198">
        <f aca="true" t="shared" si="10" ref="E14:K14">M14+U14</f>
        <v>204</v>
      </c>
      <c r="F14" s="199">
        <f t="shared" si="10"/>
        <v>182</v>
      </c>
      <c r="G14" s="199">
        <f t="shared" si="10"/>
        <v>96</v>
      </c>
      <c r="H14" s="199">
        <f t="shared" si="10"/>
        <v>41</v>
      </c>
      <c r="I14" s="199">
        <f t="shared" si="10"/>
        <v>21</v>
      </c>
      <c r="J14" s="199">
        <f t="shared" si="10"/>
        <v>8</v>
      </c>
      <c r="K14" s="200">
        <f t="shared" si="10"/>
        <v>14</v>
      </c>
      <c r="L14" s="201">
        <f t="shared" si="1"/>
        <v>566</v>
      </c>
      <c r="M14" s="358">
        <v>78</v>
      </c>
      <c r="N14" s="359">
        <v>48</v>
      </c>
      <c r="O14" s="359">
        <v>17</v>
      </c>
      <c r="P14" s="359">
        <v>6</v>
      </c>
      <c r="Q14" s="359">
        <v>3</v>
      </c>
      <c r="R14" s="359">
        <v>4</v>
      </c>
      <c r="S14" s="359">
        <v>5</v>
      </c>
      <c r="T14" s="202">
        <f t="shared" si="2"/>
        <v>161</v>
      </c>
      <c r="U14" s="358">
        <v>126</v>
      </c>
      <c r="V14" s="359">
        <v>134</v>
      </c>
      <c r="W14" s="359">
        <v>79</v>
      </c>
      <c r="X14" s="359">
        <v>35</v>
      </c>
      <c r="Y14" s="359">
        <v>18</v>
      </c>
      <c r="Z14" s="359">
        <v>4</v>
      </c>
      <c r="AA14" s="359">
        <v>9</v>
      </c>
      <c r="AB14" s="202">
        <f t="shared" si="3"/>
        <v>405</v>
      </c>
      <c r="AC14" s="7"/>
      <c r="AD14" s="7">
        <f>IF(T14='性別・年齢別対象者数'!E14,"","ｴﾗｰ")</f>
      </c>
      <c r="AE14" s="7">
        <f>IF(AB14='性別・年齢別対象者数'!F14,"","ｴﾗｰ")</f>
      </c>
      <c r="AF14" s="6">
        <f>IF(L14='性別・年齢別対象者数'!G14,"","ｴﾗｰ")</f>
      </c>
    </row>
    <row r="15" spans="1:32" ht="19.5" customHeight="1" thickBot="1" thickTop="1">
      <c r="A15" s="7"/>
      <c r="B15" s="626"/>
      <c r="C15" s="752" t="s">
        <v>7</v>
      </c>
      <c r="D15" s="753"/>
      <c r="E15" s="171">
        <f>SUM(E12:E14)</f>
        <v>5166</v>
      </c>
      <c r="F15" s="172">
        <f aca="true" t="shared" si="11" ref="F15:AB15">SUM(F12:F14)</f>
        <v>4863</v>
      </c>
      <c r="G15" s="172">
        <f t="shared" si="11"/>
        <v>2184</v>
      </c>
      <c r="H15" s="173">
        <f t="shared" si="11"/>
        <v>900</v>
      </c>
      <c r="I15" s="173">
        <f t="shared" si="11"/>
        <v>404</v>
      </c>
      <c r="J15" s="173">
        <f t="shared" si="11"/>
        <v>193</v>
      </c>
      <c r="K15" s="174">
        <f t="shared" si="11"/>
        <v>80</v>
      </c>
      <c r="L15" s="175">
        <f t="shared" si="11"/>
        <v>13790</v>
      </c>
      <c r="M15" s="176">
        <f t="shared" si="11"/>
        <v>1514</v>
      </c>
      <c r="N15" s="177">
        <f t="shared" si="11"/>
        <v>1488</v>
      </c>
      <c r="O15" s="177">
        <f t="shared" si="11"/>
        <v>472</v>
      </c>
      <c r="P15" s="178">
        <f t="shared" si="11"/>
        <v>143</v>
      </c>
      <c r="Q15" s="178">
        <f t="shared" si="11"/>
        <v>95</v>
      </c>
      <c r="R15" s="178">
        <f t="shared" si="11"/>
        <v>61</v>
      </c>
      <c r="S15" s="179">
        <f t="shared" si="11"/>
        <v>26</v>
      </c>
      <c r="T15" s="180">
        <f t="shared" si="11"/>
        <v>3799</v>
      </c>
      <c r="U15" s="176">
        <f t="shared" si="11"/>
        <v>3652</v>
      </c>
      <c r="V15" s="177">
        <f t="shared" si="11"/>
        <v>3375</v>
      </c>
      <c r="W15" s="177">
        <f t="shared" si="11"/>
        <v>1712</v>
      </c>
      <c r="X15" s="178">
        <f t="shared" si="11"/>
        <v>757</v>
      </c>
      <c r="Y15" s="178">
        <f t="shared" si="11"/>
        <v>309</v>
      </c>
      <c r="Z15" s="178">
        <f t="shared" si="11"/>
        <v>132</v>
      </c>
      <c r="AA15" s="179">
        <f t="shared" si="11"/>
        <v>54</v>
      </c>
      <c r="AB15" s="180">
        <f t="shared" si="11"/>
        <v>9991</v>
      </c>
      <c r="AC15" s="7"/>
      <c r="AD15" s="7">
        <f>IF(T15='性別・年齢別対象者数'!E15,"","ｴﾗｰ")</f>
      </c>
      <c r="AE15" s="7">
        <f>IF(AB15='性別・年齢別対象者数'!F15,"","ｴﾗｰ")</f>
      </c>
      <c r="AF15" s="6">
        <f>IF(L15='性別・年齢別対象者数'!G15,"","ｴﾗｰ")</f>
      </c>
    </row>
    <row r="16" spans="1:32" ht="19.5" customHeight="1">
      <c r="A16" s="7"/>
      <c r="B16" s="646" t="s">
        <v>43</v>
      </c>
      <c r="C16" s="754" t="s">
        <v>8</v>
      </c>
      <c r="D16" s="755"/>
      <c r="E16" s="186">
        <f aca="true" t="shared" si="12" ref="E16:K16">M16+U16</f>
        <v>4010</v>
      </c>
      <c r="F16" s="187">
        <f t="shared" si="12"/>
        <v>3678</v>
      </c>
      <c r="G16" s="187">
        <f t="shared" si="12"/>
        <v>1887</v>
      </c>
      <c r="H16" s="188">
        <f t="shared" si="12"/>
        <v>623</v>
      </c>
      <c r="I16" s="188">
        <f t="shared" si="12"/>
        <v>287</v>
      </c>
      <c r="J16" s="188">
        <f t="shared" si="12"/>
        <v>127</v>
      </c>
      <c r="K16" s="189">
        <f t="shared" si="12"/>
        <v>249</v>
      </c>
      <c r="L16" s="190">
        <f t="shared" si="1"/>
        <v>10861</v>
      </c>
      <c r="M16" s="360">
        <v>1198</v>
      </c>
      <c r="N16" s="361">
        <v>1078</v>
      </c>
      <c r="O16" s="361">
        <v>434</v>
      </c>
      <c r="P16" s="361">
        <v>93</v>
      </c>
      <c r="Q16" s="361">
        <v>61</v>
      </c>
      <c r="R16" s="361">
        <v>35</v>
      </c>
      <c r="S16" s="362">
        <v>131</v>
      </c>
      <c r="T16" s="170">
        <f t="shared" si="2"/>
        <v>3030</v>
      </c>
      <c r="U16" s="360">
        <v>2812</v>
      </c>
      <c r="V16" s="361">
        <v>2600</v>
      </c>
      <c r="W16" s="361">
        <v>1453</v>
      </c>
      <c r="X16" s="361">
        <v>530</v>
      </c>
      <c r="Y16" s="361">
        <v>226</v>
      </c>
      <c r="Z16" s="361">
        <v>92</v>
      </c>
      <c r="AA16" s="362">
        <v>118</v>
      </c>
      <c r="AB16" s="170">
        <f t="shared" si="3"/>
        <v>7831</v>
      </c>
      <c r="AC16" s="7"/>
      <c r="AD16" s="7">
        <f>IF(T16='性別・年齢別対象者数'!E16,"","ｴﾗｰ")</f>
      </c>
      <c r="AE16" s="7">
        <f>IF(AB16='性別・年齢別対象者数'!F16,"","ｴﾗｰ")</f>
      </c>
      <c r="AF16" s="6">
        <f>IF(L16='性別・年齢別対象者数'!G16,"","ｴﾗｰ")</f>
      </c>
    </row>
    <row r="17" spans="1:32" ht="19.5" customHeight="1" thickBot="1">
      <c r="A17" s="7"/>
      <c r="B17" s="647"/>
      <c r="C17" s="750" t="s">
        <v>9</v>
      </c>
      <c r="D17" s="751"/>
      <c r="E17" s="186">
        <f aca="true" t="shared" si="13" ref="E17:K17">M17+U17</f>
        <v>803</v>
      </c>
      <c r="F17" s="187">
        <f t="shared" si="13"/>
        <v>693</v>
      </c>
      <c r="G17" s="187">
        <f t="shared" si="13"/>
        <v>303</v>
      </c>
      <c r="H17" s="188">
        <f t="shared" si="13"/>
        <v>107</v>
      </c>
      <c r="I17" s="188">
        <f t="shared" si="13"/>
        <v>58</v>
      </c>
      <c r="J17" s="188">
        <f t="shared" si="13"/>
        <v>24</v>
      </c>
      <c r="K17" s="189">
        <f t="shared" si="13"/>
        <v>11</v>
      </c>
      <c r="L17" s="190">
        <f t="shared" si="1"/>
        <v>1999</v>
      </c>
      <c r="M17" s="350">
        <v>258</v>
      </c>
      <c r="N17" s="351">
        <v>203</v>
      </c>
      <c r="O17" s="351">
        <v>74</v>
      </c>
      <c r="P17" s="352">
        <v>20</v>
      </c>
      <c r="Q17" s="352">
        <v>13</v>
      </c>
      <c r="R17" s="352">
        <v>3</v>
      </c>
      <c r="S17" s="353">
        <v>5</v>
      </c>
      <c r="T17" s="170">
        <f t="shared" si="2"/>
        <v>576</v>
      </c>
      <c r="U17" s="350">
        <v>545</v>
      </c>
      <c r="V17" s="351">
        <v>490</v>
      </c>
      <c r="W17" s="351">
        <v>229</v>
      </c>
      <c r="X17" s="352">
        <v>87</v>
      </c>
      <c r="Y17" s="352">
        <v>45</v>
      </c>
      <c r="Z17" s="352">
        <v>21</v>
      </c>
      <c r="AA17" s="353">
        <v>6</v>
      </c>
      <c r="AB17" s="170">
        <f t="shared" si="3"/>
        <v>1423</v>
      </c>
      <c r="AC17" s="7"/>
      <c r="AD17" s="7">
        <f>IF(T17='性別・年齢別対象者数'!E17,"","ｴﾗｰ")</f>
      </c>
      <c r="AE17" s="7">
        <f>IF(AB17='性別・年齢別対象者数'!F17,"","ｴﾗｰ")</f>
      </c>
      <c r="AF17" s="6">
        <f>IF(L17='性別・年齢別対象者数'!G17,"","ｴﾗｰ")</f>
      </c>
    </row>
    <row r="18" spans="2:32" s="7" customFormat="1" ht="19.5" customHeight="1" thickBot="1" thickTop="1">
      <c r="B18" s="648"/>
      <c r="C18" s="752" t="s">
        <v>7</v>
      </c>
      <c r="D18" s="753"/>
      <c r="E18" s="203">
        <f aca="true" t="shared" si="14" ref="E18:AB18">E16+E17</f>
        <v>4813</v>
      </c>
      <c r="F18" s="172">
        <f t="shared" si="14"/>
        <v>4371</v>
      </c>
      <c r="G18" s="172">
        <f t="shared" si="14"/>
        <v>2190</v>
      </c>
      <c r="H18" s="172">
        <f t="shared" si="14"/>
        <v>730</v>
      </c>
      <c r="I18" s="172">
        <f t="shared" si="14"/>
        <v>345</v>
      </c>
      <c r="J18" s="172">
        <f t="shared" si="14"/>
        <v>151</v>
      </c>
      <c r="K18" s="204">
        <f t="shared" si="14"/>
        <v>260</v>
      </c>
      <c r="L18" s="205">
        <f t="shared" si="14"/>
        <v>12860</v>
      </c>
      <c r="M18" s="206">
        <f t="shared" si="14"/>
        <v>1456</v>
      </c>
      <c r="N18" s="177">
        <f t="shared" si="14"/>
        <v>1281</v>
      </c>
      <c r="O18" s="177">
        <f t="shared" si="14"/>
        <v>508</v>
      </c>
      <c r="P18" s="177">
        <f t="shared" si="14"/>
        <v>113</v>
      </c>
      <c r="Q18" s="177">
        <f t="shared" si="14"/>
        <v>74</v>
      </c>
      <c r="R18" s="177">
        <f t="shared" si="14"/>
        <v>38</v>
      </c>
      <c r="S18" s="207">
        <f t="shared" si="14"/>
        <v>136</v>
      </c>
      <c r="T18" s="208">
        <f t="shared" si="14"/>
        <v>3606</v>
      </c>
      <c r="U18" s="206">
        <f t="shared" si="14"/>
        <v>3357</v>
      </c>
      <c r="V18" s="177">
        <f t="shared" si="14"/>
        <v>3090</v>
      </c>
      <c r="W18" s="177">
        <f t="shared" si="14"/>
        <v>1682</v>
      </c>
      <c r="X18" s="177">
        <f t="shared" si="14"/>
        <v>617</v>
      </c>
      <c r="Y18" s="177">
        <f t="shared" si="14"/>
        <v>271</v>
      </c>
      <c r="Z18" s="177">
        <f t="shared" si="14"/>
        <v>113</v>
      </c>
      <c r="AA18" s="207">
        <f t="shared" si="14"/>
        <v>124</v>
      </c>
      <c r="AB18" s="208">
        <f t="shared" si="14"/>
        <v>9254</v>
      </c>
      <c r="AD18" s="7">
        <f>IF(T18='性別・年齢別対象者数'!E18,"","ｴﾗｰ")</f>
      </c>
      <c r="AE18" s="7">
        <f>IF(AB18='性別・年齢別対象者数'!F18,"","ｴﾗｰ")</f>
      </c>
      <c r="AF18" s="6">
        <f>IF(L18='性別・年齢別対象者数'!G18,"","ｴﾗｰ")</f>
      </c>
    </row>
    <row r="19" spans="2:32" s="7" customFormat="1" ht="19.5" customHeight="1">
      <c r="B19" s="646" t="s">
        <v>45</v>
      </c>
      <c r="C19" s="746" t="s">
        <v>13</v>
      </c>
      <c r="D19" s="747"/>
      <c r="E19" s="181">
        <f aca="true" t="shared" si="15" ref="E19:K21">M19+U19</f>
        <v>759</v>
      </c>
      <c r="F19" s="182">
        <f t="shared" si="15"/>
        <v>307</v>
      </c>
      <c r="G19" s="182">
        <f t="shared" si="15"/>
        <v>260</v>
      </c>
      <c r="H19" s="183">
        <f t="shared" si="15"/>
        <v>146</v>
      </c>
      <c r="I19" s="183">
        <f t="shared" si="15"/>
        <v>56</v>
      </c>
      <c r="J19" s="183">
        <f t="shared" si="15"/>
        <v>15</v>
      </c>
      <c r="K19" s="184">
        <f t="shared" si="15"/>
        <v>0</v>
      </c>
      <c r="L19" s="185">
        <f t="shared" si="1"/>
        <v>1543</v>
      </c>
      <c r="M19" s="363">
        <v>203</v>
      </c>
      <c r="N19" s="364">
        <v>96</v>
      </c>
      <c r="O19" s="364">
        <v>43</v>
      </c>
      <c r="P19" s="365">
        <v>25</v>
      </c>
      <c r="Q19" s="365">
        <v>17</v>
      </c>
      <c r="R19" s="365">
        <v>4</v>
      </c>
      <c r="S19" s="366">
        <v>0</v>
      </c>
      <c r="T19" s="170">
        <f t="shared" si="2"/>
        <v>388</v>
      </c>
      <c r="U19" s="363">
        <v>556</v>
      </c>
      <c r="V19" s="364">
        <v>211</v>
      </c>
      <c r="W19" s="364">
        <v>217</v>
      </c>
      <c r="X19" s="365">
        <v>121</v>
      </c>
      <c r="Y19" s="365">
        <v>39</v>
      </c>
      <c r="Z19" s="365">
        <v>11</v>
      </c>
      <c r="AA19" s="366">
        <v>0</v>
      </c>
      <c r="AB19" s="170">
        <f>SUM(U19:AA19)</f>
        <v>1155</v>
      </c>
      <c r="AD19" s="7">
        <f>IF(T19='性別・年齢別対象者数'!E19,"","ｴﾗｰ")</f>
      </c>
      <c r="AE19" s="7">
        <f>IF(AB19='性別・年齢別対象者数'!F19,"","ｴﾗｰ")</f>
      </c>
      <c r="AF19" s="6">
        <f>IF(L19='性別・年齢別対象者数'!G19,"","ｴﾗｰ")</f>
      </c>
    </row>
    <row r="20" spans="1:32" ht="19.5" customHeight="1">
      <c r="A20" s="7"/>
      <c r="B20" s="647"/>
      <c r="C20" s="748" t="s">
        <v>14</v>
      </c>
      <c r="D20" s="749"/>
      <c r="E20" s="181">
        <f t="shared" si="15"/>
        <v>28</v>
      </c>
      <c r="F20" s="182">
        <f t="shared" si="15"/>
        <v>28</v>
      </c>
      <c r="G20" s="182">
        <f t="shared" si="15"/>
        <v>11</v>
      </c>
      <c r="H20" s="183">
        <f t="shared" si="15"/>
        <v>5</v>
      </c>
      <c r="I20" s="183">
        <f t="shared" si="15"/>
        <v>1</v>
      </c>
      <c r="J20" s="183">
        <f t="shared" si="15"/>
        <v>1</v>
      </c>
      <c r="K20" s="184">
        <f t="shared" si="15"/>
        <v>4</v>
      </c>
      <c r="L20" s="190">
        <f t="shared" si="1"/>
        <v>78</v>
      </c>
      <c r="M20" s="350">
        <v>15</v>
      </c>
      <c r="N20" s="351">
        <v>7</v>
      </c>
      <c r="O20" s="351">
        <v>3</v>
      </c>
      <c r="P20" s="352">
        <v>0</v>
      </c>
      <c r="Q20" s="352">
        <v>0</v>
      </c>
      <c r="R20" s="352">
        <v>1</v>
      </c>
      <c r="S20" s="353">
        <v>1</v>
      </c>
      <c r="T20" s="170">
        <f t="shared" si="2"/>
        <v>27</v>
      </c>
      <c r="U20" s="350">
        <v>13</v>
      </c>
      <c r="V20" s="351">
        <v>21</v>
      </c>
      <c r="W20" s="351">
        <v>8</v>
      </c>
      <c r="X20" s="352">
        <v>5</v>
      </c>
      <c r="Y20" s="352">
        <v>1</v>
      </c>
      <c r="Z20" s="352">
        <v>0</v>
      </c>
      <c r="AA20" s="353">
        <v>3</v>
      </c>
      <c r="AB20" s="170">
        <f>SUM(U20:AA20)</f>
        <v>51</v>
      </c>
      <c r="AC20" s="7"/>
      <c r="AD20" s="7">
        <f>IF(T20='性別・年齢別対象者数'!E20,"","ｴﾗｰ")</f>
      </c>
      <c r="AE20" s="7">
        <f>IF(AB20='性別・年齢別対象者数'!F20,"","ｴﾗｰ")</f>
      </c>
      <c r="AF20" s="6">
        <f>IF(L20='性別・年齢別対象者数'!G20,"","ｴﾗｰ")</f>
      </c>
    </row>
    <row r="21" spans="1:32" ht="19.5" customHeight="1" thickBot="1">
      <c r="A21" s="7"/>
      <c r="B21" s="647"/>
      <c r="C21" s="742" t="s">
        <v>64</v>
      </c>
      <c r="D21" s="743"/>
      <c r="E21" s="198">
        <f t="shared" si="15"/>
        <v>55</v>
      </c>
      <c r="F21" s="199">
        <f t="shared" si="15"/>
        <v>77</v>
      </c>
      <c r="G21" s="199">
        <f t="shared" si="15"/>
        <v>28</v>
      </c>
      <c r="H21" s="209">
        <f t="shared" si="15"/>
        <v>9</v>
      </c>
      <c r="I21" s="209">
        <f t="shared" si="15"/>
        <v>2</v>
      </c>
      <c r="J21" s="209">
        <f t="shared" si="15"/>
        <v>1</v>
      </c>
      <c r="K21" s="210">
        <f t="shared" si="15"/>
        <v>1</v>
      </c>
      <c r="L21" s="211">
        <f t="shared" si="1"/>
        <v>173</v>
      </c>
      <c r="M21" s="354">
        <v>23</v>
      </c>
      <c r="N21" s="355">
        <v>14</v>
      </c>
      <c r="O21" s="355">
        <v>4</v>
      </c>
      <c r="P21" s="367">
        <v>2</v>
      </c>
      <c r="Q21" s="367">
        <v>0</v>
      </c>
      <c r="R21" s="367">
        <v>1</v>
      </c>
      <c r="S21" s="368">
        <v>0</v>
      </c>
      <c r="T21" s="202">
        <f t="shared" si="2"/>
        <v>44</v>
      </c>
      <c r="U21" s="354">
        <v>32</v>
      </c>
      <c r="V21" s="355">
        <v>63</v>
      </c>
      <c r="W21" s="355">
        <v>24</v>
      </c>
      <c r="X21" s="367">
        <v>7</v>
      </c>
      <c r="Y21" s="367">
        <v>2</v>
      </c>
      <c r="Z21" s="367">
        <v>0</v>
      </c>
      <c r="AA21" s="368">
        <v>1</v>
      </c>
      <c r="AB21" s="202">
        <f>SUM(U21:AA21)</f>
        <v>129</v>
      </c>
      <c r="AC21" s="7"/>
      <c r="AD21" s="7">
        <f>IF(T21='性別・年齢別対象者数'!E21,"","ｴﾗｰ")</f>
      </c>
      <c r="AE21" s="7">
        <f>IF(AB21='性別・年齢別対象者数'!F21,"","ｴﾗｰ")</f>
      </c>
      <c r="AF21" s="6">
        <f>IF(L21='性別・年齢別対象者数'!G21,"","ｴﾗｰ")</f>
      </c>
    </row>
    <row r="22" spans="1:32" ht="19.5" customHeight="1" thickBot="1" thickTop="1">
      <c r="A22" s="7"/>
      <c r="B22" s="648"/>
      <c r="C22" s="744" t="s">
        <v>7</v>
      </c>
      <c r="D22" s="745"/>
      <c r="E22" s="171">
        <f>SUM(E19:E21)</f>
        <v>842</v>
      </c>
      <c r="F22" s="172">
        <f aca="true" t="shared" si="16" ref="F22:S22">SUM(F19:F21)</f>
        <v>412</v>
      </c>
      <c r="G22" s="172">
        <f t="shared" si="16"/>
        <v>299</v>
      </c>
      <c r="H22" s="172">
        <f t="shared" si="16"/>
        <v>160</v>
      </c>
      <c r="I22" s="172">
        <f t="shared" si="16"/>
        <v>59</v>
      </c>
      <c r="J22" s="172">
        <f t="shared" si="16"/>
        <v>17</v>
      </c>
      <c r="K22" s="212">
        <f t="shared" si="16"/>
        <v>5</v>
      </c>
      <c r="L22" s="201">
        <f t="shared" si="16"/>
        <v>1794</v>
      </c>
      <c r="M22" s="176">
        <f t="shared" si="16"/>
        <v>241</v>
      </c>
      <c r="N22" s="213">
        <f t="shared" si="16"/>
        <v>117</v>
      </c>
      <c r="O22" s="213">
        <f t="shared" si="16"/>
        <v>50</v>
      </c>
      <c r="P22" s="213">
        <f t="shared" si="16"/>
        <v>27</v>
      </c>
      <c r="Q22" s="213">
        <f t="shared" si="16"/>
        <v>17</v>
      </c>
      <c r="R22" s="213">
        <f t="shared" si="16"/>
        <v>6</v>
      </c>
      <c r="S22" s="213">
        <f t="shared" si="16"/>
        <v>1</v>
      </c>
      <c r="T22" s="180">
        <f>SUM(T19:T21)</f>
        <v>459</v>
      </c>
      <c r="U22" s="176">
        <f aca="true" t="shared" si="17" ref="U22:AA22">SUM(U19:U21)</f>
        <v>601</v>
      </c>
      <c r="V22" s="213">
        <f t="shared" si="17"/>
        <v>295</v>
      </c>
      <c r="W22" s="213">
        <f t="shared" si="17"/>
        <v>249</v>
      </c>
      <c r="X22" s="213">
        <f t="shared" si="17"/>
        <v>133</v>
      </c>
      <c r="Y22" s="213">
        <f t="shared" si="17"/>
        <v>42</v>
      </c>
      <c r="Z22" s="213">
        <f t="shared" si="17"/>
        <v>11</v>
      </c>
      <c r="AA22" s="213">
        <f t="shared" si="17"/>
        <v>4</v>
      </c>
      <c r="AB22" s="180">
        <f>SUM(AB19:AB21)</f>
        <v>1335</v>
      </c>
      <c r="AC22" s="7"/>
      <c r="AD22" s="7">
        <f>IF(T22='性別・年齢別対象者数'!E22,"","ｴﾗｰ")</f>
      </c>
      <c r="AE22" s="7">
        <f>IF(AB22='性別・年齢別対象者数'!F22,"","ｴﾗｰ")</f>
      </c>
      <c r="AF22" s="6">
        <f>IF(L22='性別・年齢別対象者数'!G22,"","ｴﾗｰ")</f>
      </c>
    </row>
    <row r="23" spans="1:32" ht="19.5" customHeight="1">
      <c r="A23" s="7"/>
      <c r="B23" s="646" t="s">
        <v>46</v>
      </c>
      <c r="C23" s="746" t="s">
        <v>15</v>
      </c>
      <c r="D23" s="747"/>
      <c r="E23" s="165">
        <f aca="true" t="shared" si="18" ref="E23:K26">M23+U23</f>
        <v>512</v>
      </c>
      <c r="F23" s="166">
        <f t="shared" si="18"/>
        <v>582</v>
      </c>
      <c r="G23" s="166">
        <f t="shared" si="18"/>
        <v>265</v>
      </c>
      <c r="H23" s="167">
        <f t="shared" si="18"/>
        <v>89</v>
      </c>
      <c r="I23" s="167">
        <f t="shared" si="18"/>
        <v>26</v>
      </c>
      <c r="J23" s="167">
        <f t="shared" si="18"/>
        <v>23</v>
      </c>
      <c r="K23" s="168">
        <f t="shared" si="18"/>
        <v>20</v>
      </c>
      <c r="L23" s="169">
        <f t="shared" si="1"/>
        <v>1517</v>
      </c>
      <c r="M23" s="363">
        <v>170</v>
      </c>
      <c r="N23" s="364">
        <v>186</v>
      </c>
      <c r="O23" s="364">
        <v>54</v>
      </c>
      <c r="P23" s="365">
        <v>13</v>
      </c>
      <c r="Q23" s="365">
        <v>2</v>
      </c>
      <c r="R23" s="365">
        <v>5</v>
      </c>
      <c r="S23" s="366">
        <v>6</v>
      </c>
      <c r="T23" s="170">
        <f t="shared" si="2"/>
        <v>436</v>
      </c>
      <c r="U23" s="363">
        <v>342</v>
      </c>
      <c r="V23" s="364">
        <v>396</v>
      </c>
      <c r="W23" s="364">
        <v>211</v>
      </c>
      <c r="X23" s="365">
        <v>76</v>
      </c>
      <c r="Y23" s="365">
        <v>24</v>
      </c>
      <c r="Z23" s="365">
        <v>18</v>
      </c>
      <c r="AA23" s="366">
        <v>14</v>
      </c>
      <c r="AB23" s="170">
        <f>SUM(U23:AA23)</f>
        <v>1081</v>
      </c>
      <c r="AC23" s="7"/>
      <c r="AD23" s="7">
        <f>IF(T23='性別・年齢別対象者数'!E23,"","ｴﾗｰ")</f>
      </c>
      <c r="AE23" s="7">
        <f>IF(AB23='性別・年齢別対象者数'!F23,"","ｴﾗｰ")</f>
      </c>
      <c r="AF23" s="6">
        <f>IF(L23='性別・年齢別対象者数'!G23,"","ｴﾗｰ")</f>
      </c>
    </row>
    <row r="24" spans="1:32" ht="19.5" customHeight="1">
      <c r="A24" s="7"/>
      <c r="B24" s="647"/>
      <c r="C24" s="748" t="s">
        <v>16</v>
      </c>
      <c r="D24" s="749"/>
      <c r="E24" s="186">
        <f t="shared" si="18"/>
        <v>167</v>
      </c>
      <c r="F24" s="187">
        <f t="shared" si="18"/>
        <v>178</v>
      </c>
      <c r="G24" s="187">
        <f t="shared" si="18"/>
        <v>86</v>
      </c>
      <c r="H24" s="188">
        <f t="shared" si="18"/>
        <v>42</v>
      </c>
      <c r="I24" s="188">
        <f t="shared" si="18"/>
        <v>13</v>
      </c>
      <c r="J24" s="188">
        <f t="shared" si="18"/>
        <v>7</v>
      </c>
      <c r="K24" s="189">
        <f t="shared" si="18"/>
        <v>12</v>
      </c>
      <c r="L24" s="190">
        <f t="shared" si="1"/>
        <v>505</v>
      </c>
      <c r="M24" s="350">
        <v>56</v>
      </c>
      <c r="N24" s="351">
        <v>57</v>
      </c>
      <c r="O24" s="351">
        <v>16</v>
      </c>
      <c r="P24" s="352">
        <v>10</v>
      </c>
      <c r="Q24" s="352">
        <v>4</v>
      </c>
      <c r="R24" s="352">
        <v>2</v>
      </c>
      <c r="S24" s="353">
        <v>8</v>
      </c>
      <c r="T24" s="170">
        <f t="shared" si="2"/>
        <v>153</v>
      </c>
      <c r="U24" s="350">
        <v>111</v>
      </c>
      <c r="V24" s="351">
        <v>121</v>
      </c>
      <c r="W24" s="351">
        <v>70</v>
      </c>
      <c r="X24" s="352">
        <v>32</v>
      </c>
      <c r="Y24" s="352">
        <v>9</v>
      </c>
      <c r="Z24" s="352">
        <v>5</v>
      </c>
      <c r="AA24" s="353">
        <v>4</v>
      </c>
      <c r="AB24" s="170">
        <f>SUM(U24:AA24)</f>
        <v>352</v>
      </c>
      <c r="AC24" s="7"/>
      <c r="AD24" s="7">
        <f>IF(T24='性別・年齢別対象者数'!E24,"","ｴﾗｰ")</f>
      </c>
      <c r="AE24" s="7">
        <f>IF(AB24='性別・年齢別対象者数'!F24,"","ｴﾗｰ")</f>
      </c>
      <c r="AF24" s="6">
        <f>IF(L24='性別・年齢別対象者数'!G24,"","ｴﾗｰ")</f>
      </c>
    </row>
    <row r="25" spans="1:32" ht="19.5" customHeight="1">
      <c r="A25" s="7"/>
      <c r="B25" s="647"/>
      <c r="C25" s="748" t="s">
        <v>17</v>
      </c>
      <c r="D25" s="749"/>
      <c r="E25" s="186">
        <f t="shared" si="18"/>
        <v>53</v>
      </c>
      <c r="F25" s="187">
        <f t="shared" si="18"/>
        <v>121</v>
      </c>
      <c r="G25" s="187">
        <f t="shared" si="18"/>
        <v>34</v>
      </c>
      <c r="H25" s="188">
        <f t="shared" si="18"/>
        <v>5</v>
      </c>
      <c r="I25" s="188">
        <f t="shared" si="18"/>
        <v>2</v>
      </c>
      <c r="J25" s="188">
        <f t="shared" si="18"/>
        <v>1</v>
      </c>
      <c r="K25" s="189">
        <f t="shared" si="18"/>
        <v>0</v>
      </c>
      <c r="L25" s="190">
        <f t="shared" si="1"/>
        <v>216</v>
      </c>
      <c r="M25" s="350">
        <v>18</v>
      </c>
      <c r="N25" s="351">
        <v>32</v>
      </c>
      <c r="O25" s="351">
        <v>4</v>
      </c>
      <c r="P25" s="352">
        <v>0</v>
      </c>
      <c r="Q25" s="352">
        <v>0</v>
      </c>
      <c r="R25" s="352">
        <v>0</v>
      </c>
      <c r="S25" s="353">
        <v>0</v>
      </c>
      <c r="T25" s="170">
        <f t="shared" si="2"/>
        <v>54</v>
      </c>
      <c r="U25" s="350">
        <v>35</v>
      </c>
      <c r="V25" s="351">
        <v>89</v>
      </c>
      <c r="W25" s="351">
        <v>30</v>
      </c>
      <c r="X25" s="352">
        <v>5</v>
      </c>
      <c r="Y25" s="352">
        <v>2</v>
      </c>
      <c r="Z25" s="352">
        <v>1</v>
      </c>
      <c r="AA25" s="353">
        <v>0</v>
      </c>
      <c r="AB25" s="170">
        <f>SUM(U25:AA25)</f>
        <v>162</v>
      </c>
      <c r="AC25" s="7"/>
      <c r="AD25" s="7">
        <f>IF(T25='性別・年齢別対象者数'!E25,"","ｴﾗｰ")</f>
      </c>
      <c r="AE25" s="7">
        <f>IF(AB25='性別・年齢別対象者数'!F25,"","ｴﾗｰ")</f>
      </c>
      <c r="AF25" s="6">
        <f>IF(L25='性別・年齢別対象者数'!G25,"","ｴﾗｰ")</f>
      </c>
    </row>
    <row r="26" spans="1:32" ht="19.5" customHeight="1" thickBot="1">
      <c r="A26" s="7"/>
      <c r="B26" s="647"/>
      <c r="C26" s="750" t="s">
        <v>18</v>
      </c>
      <c r="D26" s="751"/>
      <c r="E26" s="214">
        <f t="shared" si="18"/>
        <v>134</v>
      </c>
      <c r="F26" s="215">
        <f t="shared" si="18"/>
        <v>103</v>
      </c>
      <c r="G26" s="215">
        <f t="shared" si="18"/>
        <v>52</v>
      </c>
      <c r="H26" s="216">
        <f t="shared" si="18"/>
        <v>23</v>
      </c>
      <c r="I26" s="216">
        <f t="shared" si="18"/>
        <v>14</v>
      </c>
      <c r="J26" s="216">
        <f t="shared" si="18"/>
        <v>6</v>
      </c>
      <c r="K26" s="217">
        <f t="shared" si="18"/>
        <v>1</v>
      </c>
      <c r="L26" s="196">
        <f t="shared" si="1"/>
        <v>333</v>
      </c>
      <c r="M26" s="354">
        <v>50</v>
      </c>
      <c r="N26" s="355">
        <v>26</v>
      </c>
      <c r="O26" s="355">
        <v>12</v>
      </c>
      <c r="P26" s="367">
        <v>7</v>
      </c>
      <c r="Q26" s="367">
        <v>2</v>
      </c>
      <c r="R26" s="367">
        <v>1</v>
      </c>
      <c r="S26" s="368">
        <v>0</v>
      </c>
      <c r="T26" s="202">
        <f t="shared" si="2"/>
        <v>98</v>
      </c>
      <c r="U26" s="354">
        <v>84</v>
      </c>
      <c r="V26" s="355">
        <v>77</v>
      </c>
      <c r="W26" s="355">
        <v>40</v>
      </c>
      <c r="X26" s="367">
        <v>16</v>
      </c>
      <c r="Y26" s="367">
        <v>12</v>
      </c>
      <c r="Z26" s="367">
        <v>5</v>
      </c>
      <c r="AA26" s="368">
        <v>1</v>
      </c>
      <c r="AB26" s="202">
        <f>SUM(U26:AA26)</f>
        <v>235</v>
      </c>
      <c r="AC26" s="7"/>
      <c r="AD26" s="7">
        <f>IF(T26='性別・年齢別対象者数'!E26,"","ｴﾗｰ")</f>
      </c>
      <c r="AE26" s="7">
        <f>IF(AB26='性別・年齢別対象者数'!F26,"","ｴﾗｰ")</f>
      </c>
      <c r="AF26" s="6">
        <f>IF(L26='性別・年齢別対象者数'!G26,"","ｴﾗｰ")</f>
      </c>
    </row>
    <row r="27" spans="1:32" ht="19.5" customHeight="1" thickBot="1" thickTop="1">
      <c r="A27" s="7"/>
      <c r="B27" s="648"/>
      <c r="C27" s="752" t="s">
        <v>7</v>
      </c>
      <c r="D27" s="753"/>
      <c r="E27" s="171">
        <f>SUM(E23:E26)</f>
        <v>866</v>
      </c>
      <c r="F27" s="172">
        <f aca="true" t="shared" si="19" ref="F27:S27">SUM(F23:F26)</f>
        <v>984</v>
      </c>
      <c r="G27" s="172">
        <f t="shared" si="19"/>
        <v>437</v>
      </c>
      <c r="H27" s="172">
        <f t="shared" si="19"/>
        <v>159</v>
      </c>
      <c r="I27" s="172">
        <f t="shared" si="19"/>
        <v>55</v>
      </c>
      <c r="J27" s="172">
        <f t="shared" si="19"/>
        <v>37</v>
      </c>
      <c r="K27" s="212">
        <f t="shared" si="19"/>
        <v>33</v>
      </c>
      <c r="L27" s="218">
        <f t="shared" si="19"/>
        <v>2571</v>
      </c>
      <c r="M27" s="176">
        <f t="shared" si="19"/>
        <v>294</v>
      </c>
      <c r="N27" s="213">
        <f t="shared" si="19"/>
        <v>301</v>
      </c>
      <c r="O27" s="213">
        <f t="shared" si="19"/>
        <v>86</v>
      </c>
      <c r="P27" s="213">
        <f t="shared" si="19"/>
        <v>30</v>
      </c>
      <c r="Q27" s="213">
        <f t="shared" si="19"/>
        <v>8</v>
      </c>
      <c r="R27" s="213">
        <f t="shared" si="19"/>
        <v>8</v>
      </c>
      <c r="S27" s="213">
        <f t="shared" si="19"/>
        <v>14</v>
      </c>
      <c r="T27" s="180">
        <f>SUM(T23:T26)</f>
        <v>741</v>
      </c>
      <c r="U27" s="176">
        <f aca="true" t="shared" si="20" ref="U27:AA27">SUM(U23:U26)</f>
        <v>572</v>
      </c>
      <c r="V27" s="213">
        <f t="shared" si="20"/>
        <v>683</v>
      </c>
      <c r="W27" s="213">
        <f t="shared" si="20"/>
        <v>351</v>
      </c>
      <c r="X27" s="213">
        <f t="shared" si="20"/>
        <v>129</v>
      </c>
      <c r="Y27" s="213">
        <f t="shared" si="20"/>
        <v>47</v>
      </c>
      <c r="Z27" s="213">
        <f t="shared" si="20"/>
        <v>29</v>
      </c>
      <c r="AA27" s="213">
        <f t="shared" si="20"/>
        <v>19</v>
      </c>
      <c r="AB27" s="180">
        <f>SUM(AB23:AB26)</f>
        <v>1830</v>
      </c>
      <c r="AC27" s="7"/>
      <c r="AD27" s="7">
        <f>IF(T27='性別・年齢別対象者数'!E27,"","ｴﾗｰ")</f>
      </c>
      <c r="AE27" s="7">
        <f>IF(AB27='性別・年齢別対象者数'!F27,"","ｴﾗｰ")</f>
      </c>
      <c r="AF27" s="6">
        <f>IF(L27='性別・年齢別対象者数'!G27,"","ｴﾗｰ")</f>
      </c>
    </row>
    <row r="28" spans="1:32" ht="19.5" customHeight="1">
      <c r="A28" s="7"/>
      <c r="B28" s="646" t="s">
        <v>96</v>
      </c>
      <c r="C28" s="746" t="s">
        <v>19</v>
      </c>
      <c r="D28" s="747"/>
      <c r="E28" s="165">
        <f aca="true" t="shared" si="21" ref="E28:K28">M28+U28</f>
        <v>215</v>
      </c>
      <c r="F28" s="166">
        <f t="shared" si="21"/>
        <v>210</v>
      </c>
      <c r="G28" s="166">
        <f t="shared" si="21"/>
        <v>179</v>
      </c>
      <c r="H28" s="167">
        <f t="shared" si="21"/>
        <v>56</v>
      </c>
      <c r="I28" s="167">
        <f t="shared" si="21"/>
        <v>17</v>
      </c>
      <c r="J28" s="167">
        <f t="shared" si="21"/>
        <v>15</v>
      </c>
      <c r="K28" s="168">
        <f t="shared" si="21"/>
        <v>29</v>
      </c>
      <c r="L28" s="185">
        <f t="shared" si="1"/>
        <v>721</v>
      </c>
      <c r="M28" s="363">
        <v>89</v>
      </c>
      <c r="N28" s="364">
        <v>58</v>
      </c>
      <c r="O28" s="364">
        <v>32</v>
      </c>
      <c r="P28" s="365">
        <v>10</v>
      </c>
      <c r="Q28" s="365">
        <v>3</v>
      </c>
      <c r="R28" s="365">
        <v>3</v>
      </c>
      <c r="S28" s="366">
        <v>7</v>
      </c>
      <c r="T28" s="170">
        <f t="shared" si="2"/>
        <v>202</v>
      </c>
      <c r="U28" s="363">
        <v>126</v>
      </c>
      <c r="V28" s="364">
        <v>152</v>
      </c>
      <c r="W28" s="364">
        <v>147</v>
      </c>
      <c r="X28" s="365">
        <v>46</v>
      </c>
      <c r="Y28" s="365">
        <v>14</v>
      </c>
      <c r="Z28" s="365">
        <v>12</v>
      </c>
      <c r="AA28" s="366">
        <v>22</v>
      </c>
      <c r="AB28" s="170">
        <f aca="true" t="shared" si="22" ref="AB28:AB33">SUM(U28:AA28)</f>
        <v>519</v>
      </c>
      <c r="AC28" s="7"/>
      <c r="AD28" s="7">
        <f>IF(T28='性別・年齢別対象者数'!E28,"","ｴﾗｰ")</f>
      </c>
      <c r="AE28" s="7">
        <f>IF(AB28='性別・年齢別対象者数'!F28,"","ｴﾗｰ")</f>
      </c>
      <c r="AF28" s="6">
        <f>IF(L28='性別・年齢別対象者数'!G28,"","ｴﾗｰ")</f>
      </c>
    </row>
    <row r="29" spans="1:32" ht="19.5" customHeight="1">
      <c r="A29" s="7"/>
      <c r="B29" s="647"/>
      <c r="C29" s="748" t="s">
        <v>20</v>
      </c>
      <c r="D29" s="749"/>
      <c r="E29" s="181">
        <f aca="true" t="shared" si="23" ref="E29:K33">M29+U29</f>
        <v>69</v>
      </c>
      <c r="F29" s="182">
        <f t="shared" si="23"/>
        <v>58</v>
      </c>
      <c r="G29" s="182">
        <f t="shared" si="23"/>
        <v>38</v>
      </c>
      <c r="H29" s="183">
        <f t="shared" si="23"/>
        <v>9</v>
      </c>
      <c r="I29" s="183">
        <f t="shared" si="23"/>
        <v>5</v>
      </c>
      <c r="J29" s="183">
        <f t="shared" si="23"/>
        <v>2</v>
      </c>
      <c r="K29" s="184">
        <f t="shared" si="23"/>
        <v>3</v>
      </c>
      <c r="L29" s="190">
        <f t="shared" si="1"/>
        <v>184</v>
      </c>
      <c r="M29" s="350">
        <v>19</v>
      </c>
      <c r="N29" s="351">
        <v>20</v>
      </c>
      <c r="O29" s="351">
        <v>5</v>
      </c>
      <c r="P29" s="352">
        <v>1</v>
      </c>
      <c r="Q29" s="352">
        <v>0</v>
      </c>
      <c r="R29" s="352">
        <v>1</v>
      </c>
      <c r="S29" s="353">
        <v>1</v>
      </c>
      <c r="T29" s="170">
        <f t="shared" si="2"/>
        <v>47</v>
      </c>
      <c r="U29" s="350">
        <v>50</v>
      </c>
      <c r="V29" s="351">
        <v>38</v>
      </c>
      <c r="W29" s="351">
        <v>33</v>
      </c>
      <c r="X29" s="352">
        <v>8</v>
      </c>
      <c r="Y29" s="352">
        <v>5</v>
      </c>
      <c r="Z29" s="352">
        <v>1</v>
      </c>
      <c r="AA29" s="353">
        <v>2</v>
      </c>
      <c r="AB29" s="170">
        <f t="shared" si="22"/>
        <v>137</v>
      </c>
      <c r="AC29" s="7"/>
      <c r="AD29" s="7">
        <f>IF(T29='性別・年齢別対象者数'!E29,"","ｴﾗｰ")</f>
      </c>
      <c r="AE29" s="7">
        <f>IF(AB29='性別・年齢別対象者数'!F29,"","ｴﾗｰ")</f>
      </c>
      <c r="AF29" s="6">
        <f>IF(L29='性別・年齢別対象者数'!G29,"","ｴﾗｰ")</f>
      </c>
    </row>
    <row r="30" spans="1:32" ht="19.5" customHeight="1">
      <c r="A30" s="7"/>
      <c r="B30" s="647"/>
      <c r="C30" s="748" t="s">
        <v>21</v>
      </c>
      <c r="D30" s="749"/>
      <c r="E30" s="181">
        <f t="shared" si="23"/>
        <v>110</v>
      </c>
      <c r="F30" s="182">
        <f t="shared" si="23"/>
        <v>104</v>
      </c>
      <c r="G30" s="182">
        <f t="shared" si="23"/>
        <v>44</v>
      </c>
      <c r="H30" s="183">
        <f t="shared" si="23"/>
        <v>14</v>
      </c>
      <c r="I30" s="183">
        <f t="shared" si="23"/>
        <v>7</v>
      </c>
      <c r="J30" s="183">
        <f t="shared" si="23"/>
        <v>0</v>
      </c>
      <c r="K30" s="184">
        <f t="shared" si="23"/>
        <v>16</v>
      </c>
      <c r="L30" s="190">
        <f t="shared" si="1"/>
        <v>295</v>
      </c>
      <c r="M30" s="350">
        <v>39</v>
      </c>
      <c r="N30" s="351">
        <v>42</v>
      </c>
      <c r="O30" s="351">
        <v>9</v>
      </c>
      <c r="P30" s="352">
        <v>1</v>
      </c>
      <c r="Q30" s="352">
        <v>2</v>
      </c>
      <c r="R30" s="352">
        <v>0</v>
      </c>
      <c r="S30" s="353">
        <v>5</v>
      </c>
      <c r="T30" s="170">
        <f t="shared" si="2"/>
        <v>98</v>
      </c>
      <c r="U30" s="350">
        <v>71</v>
      </c>
      <c r="V30" s="351">
        <v>62</v>
      </c>
      <c r="W30" s="351">
        <v>35</v>
      </c>
      <c r="X30" s="352">
        <v>13</v>
      </c>
      <c r="Y30" s="352">
        <v>5</v>
      </c>
      <c r="Z30" s="352">
        <v>0</v>
      </c>
      <c r="AA30" s="353">
        <v>11</v>
      </c>
      <c r="AB30" s="170">
        <f t="shared" si="22"/>
        <v>197</v>
      </c>
      <c r="AC30" s="7"/>
      <c r="AD30" s="7">
        <f>IF(T30='性別・年齢別対象者数'!E30,"","ｴﾗｰ")</f>
      </c>
      <c r="AE30" s="7">
        <f>IF(AB30='性別・年齢別対象者数'!F30,"","ｴﾗｰ")</f>
      </c>
      <c r="AF30" s="6">
        <f>IF(L30='性別・年齢別対象者数'!G30,"","ｴﾗｰ")</f>
      </c>
    </row>
    <row r="31" spans="1:32" ht="19.5" customHeight="1">
      <c r="A31" s="7"/>
      <c r="B31" s="647"/>
      <c r="C31" s="748" t="s">
        <v>22</v>
      </c>
      <c r="D31" s="749"/>
      <c r="E31" s="181">
        <f t="shared" si="23"/>
        <v>144</v>
      </c>
      <c r="F31" s="182">
        <f t="shared" si="23"/>
        <v>159</v>
      </c>
      <c r="G31" s="182">
        <f t="shared" si="23"/>
        <v>36</v>
      </c>
      <c r="H31" s="183">
        <f t="shared" si="23"/>
        <v>14</v>
      </c>
      <c r="I31" s="183">
        <f t="shared" si="23"/>
        <v>5</v>
      </c>
      <c r="J31" s="183">
        <f t="shared" si="23"/>
        <v>5</v>
      </c>
      <c r="K31" s="184">
        <f t="shared" si="23"/>
        <v>15</v>
      </c>
      <c r="L31" s="190">
        <f t="shared" si="1"/>
        <v>378</v>
      </c>
      <c r="M31" s="350">
        <v>55</v>
      </c>
      <c r="N31" s="351">
        <v>47</v>
      </c>
      <c r="O31" s="351">
        <v>8</v>
      </c>
      <c r="P31" s="352">
        <v>2</v>
      </c>
      <c r="Q31" s="352">
        <v>1</v>
      </c>
      <c r="R31" s="352">
        <v>2</v>
      </c>
      <c r="S31" s="353">
        <v>6</v>
      </c>
      <c r="T31" s="170">
        <f t="shared" si="2"/>
        <v>121</v>
      </c>
      <c r="U31" s="350">
        <v>89</v>
      </c>
      <c r="V31" s="351">
        <v>112</v>
      </c>
      <c r="W31" s="351">
        <v>28</v>
      </c>
      <c r="X31" s="352">
        <v>12</v>
      </c>
      <c r="Y31" s="352">
        <v>4</v>
      </c>
      <c r="Z31" s="352">
        <v>3</v>
      </c>
      <c r="AA31" s="353">
        <v>9</v>
      </c>
      <c r="AB31" s="170">
        <f t="shared" si="22"/>
        <v>257</v>
      </c>
      <c r="AC31" s="7"/>
      <c r="AD31" s="7">
        <f>IF(T31='性別・年齢別対象者数'!E31,"","ｴﾗｰ")</f>
      </c>
      <c r="AE31" s="7">
        <f>IF(AB31='性別・年齢別対象者数'!F31,"","ｴﾗｰ")</f>
      </c>
      <c r="AF31" s="6">
        <f>IF(L31='性別・年齢別対象者数'!G31,"","ｴﾗｰ")</f>
      </c>
    </row>
    <row r="32" spans="1:32" ht="19.5" customHeight="1">
      <c r="A32" s="7"/>
      <c r="B32" s="647"/>
      <c r="C32" s="748" t="s">
        <v>23</v>
      </c>
      <c r="D32" s="749"/>
      <c r="E32" s="198">
        <f t="shared" si="23"/>
        <v>38</v>
      </c>
      <c r="F32" s="199">
        <f t="shared" si="23"/>
        <v>40</v>
      </c>
      <c r="G32" s="199">
        <f t="shared" si="23"/>
        <v>16</v>
      </c>
      <c r="H32" s="209">
        <f t="shared" si="23"/>
        <v>5</v>
      </c>
      <c r="I32" s="209">
        <f t="shared" si="23"/>
        <v>5</v>
      </c>
      <c r="J32" s="209">
        <f t="shared" si="23"/>
        <v>0</v>
      </c>
      <c r="K32" s="210">
        <f t="shared" si="23"/>
        <v>0</v>
      </c>
      <c r="L32" s="196">
        <f t="shared" si="1"/>
        <v>104</v>
      </c>
      <c r="M32" s="354">
        <v>12</v>
      </c>
      <c r="N32" s="355">
        <v>17</v>
      </c>
      <c r="O32" s="355">
        <v>4</v>
      </c>
      <c r="P32" s="356">
        <v>0</v>
      </c>
      <c r="Q32" s="356">
        <v>0</v>
      </c>
      <c r="R32" s="356">
        <v>0</v>
      </c>
      <c r="S32" s="357">
        <v>0</v>
      </c>
      <c r="T32" s="202">
        <f t="shared" si="2"/>
        <v>33</v>
      </c>
      <c r="U32" s="354">
        <v>26</v>
      </c>
      <c r="V32" s="355">
        <v>23</v>
      </c>
      <c r="W32" s="355">
        <v>12</v>
      </c>
      <c r="X32" s="356">
        <v>5</v>
      </c>
      <c r="Y32" s="356">
        <v>5</v>
      </c>
      <c r="Z32" s="356">
        <v>0</v>
      </c>
      <c r="AA32" s="357">
        <v>0</v>
      </c>
      <c r="AB32" s="202">
        <f t="shared" si="22"/>
        <v>71</v>
      </c>
      <c r="AC32" s="7"/>
      <c r="AD32" s="7">
        <f>IF(T32='性別・年齢別対象者数'!E32,"","ｴﾗｰ")</f>
      </c>
      <c r="AE32" s="7">
        <f>IF(AB32='性別・年齢別対象者数'!F32,"","ｴﾗｰ")</f>
      </c>
      <c r="AF32" s="6">
        <f>IF(L32='性別・年齢別対象者数'!G32,"","ｴﾗｰ")</f>
      </c>
    </row>
    <row r="33" spans="1:32" ht="19.5" customHeight="1" thickBot="1">
      <c r="A33" s="7"/>
      <c r="B33" s="649"/>
      <c r="C33" s="742" t="s">
        <v>66</v>
      </c>
      <c r="D33" s="743"/>
      <c r="E33" s="214">
        <f t="shared" si="23"/>
        <v>179</v>
      </c>
      <c r="F33" s="215">
        <f t="shared" si="23"/>
        <v>199</v>
      </c>
      <c r="G33" s="215">
        <f t="shared" si="23"/>
        <v>122</v>
      </c>
      <c r="H33" s="216">
        <f t="shared" si="23"/>
        <v>44</v>
      </c>
      <c r="I33" s="216">
        <f t="shared" si="23"/>
        <v>19</v>
      </c>
      <c r="J33" s="216">
        <f t="shared" si="23"/>
        <v>7</v>
      </c>
      <c r="K33" s="217">
        <f t="shared" si="23"/>
        <v>6</v>
      </c>
      <c r="L33" s="211">
        <f t="shared" si="1"/>
        <v>576</v>
      </c>
      <c r="M33" s="369">
        <v>59</v>
      </c>
      <c r="N33" s="370">
        <v>67</v>
      </c>
      <c r="O33" s="370">
        <v>24</v>
      </c>
      <c r="P33" s="371">
        <v>7</v>
      </c>
      <c r="Q33" s="371">
        <v>6</v>
      </c>
      <c r="R33" s="371">
        <v>2</v>
      </c>
      <c r="S33" s="372">
        <v>4</v>
      </c>
      <c r="T33" s="219">
        <f t="shared" si="2"/>
        <v>169</v>
      </c>
      <c r="U33" s="369">
        <v>120</v>
      </c>
      <c r="V33" s="370">
        <v>132</v>
      </c>
      <c r="W33" s="370">
        <v>98</v>
      </c>
      <c r="X33" s="371">
        <v>37</v>
      </c>
      <c r="Y33" s="371">
        <v>13</v>
      </c>
      <c r="Z33" s="371">
        <v>5</v>
      </c>
      <c r="AA33" s="372">
        <v>2</v>
      </c>
      <c r="AB33" s="219">
        <f t="shared" si="22"/>
        <v>407</v>
      </c>
      <c r="AC33" s="7"/>
      <c r="AD33" s="7">
        <f>IF(T33='性別・年齢別対象者数'!E33,"","ｴﾗｰ")</f>
      </c>
      <c r="AE33" s="7">
        <f>IF(AB33='性別・年齢別対象者数'!F33,"","ｴﾗｰ")</f>
      </c>
      <c r="AF33" s="6">
        <f>IF(L33='性別・年齢別対象者数'!G33,"","ｴﾗｰ")</f>
      </c>
    </row>
    <row r="34" spans="1:32" ht="19.5" customHeight="1" thickBot="1" thickTop="1">
      <c r="A34" s="7"/>
      <c r="B34" s="648"/>
      <c r="C34" s="744" t="s">
        <v>7</v>
      </c>
      <c r="D34" s="745"/>
      <c r="E34" s="198">
        <f aca="true" t="shared" si="24" ref="E34:AB34">SUM(E28:E33)</f>
        <v>755</v>
      </c>
      <c r="F34" s="199">
        <f t="shared" si="24"/>
        <v>770</v>
      </c>
      <c r="G34" s="199">
        <f t="shared" si="24"/>
        <v>435</v>
      </c>
      <c r="H34" s="199">
        <f t="shared" si="24"/>
        <v>142</v>
      </c>
      <c r="I34" s="199">
        <f t="shared" si="24"/>
        <v>58</v>
      </c>
      <c r="J34" s="199">
        <f t="shared" si="24"/>
        <v>29</v>
      </c>
      <c r="K34" s="200">
        <f t="shared" si="24"/>
        <v>69</v>
      </c>
      <c r="L34" s="201">
        <f t="shared" si="24"/>
        <v>2258</v>
      </c>
      <c r="M34" s="220">
        <f t="shared" si="24"/>
        <v>273</v>
      </c>
      <c r="N34" s="221">
        <f t="shared" si="24"/>
        <v>251</v>
      </c>
      <c r="O34" s="221">
        <f t="shared" si="24"/>
        <v>82</v>
      </c>
      <c r="P34" s="221">
        <f t="shared" si="24"/>
        <v>21</v>
      </c>
      <c r="Q34" s="221">
        <f t="shared" si="24"/>
        <v>12</v>
      </c>
      <c r="R34" s="221">
        <f t="shared" si="24"/>
        <v>8</v>
      </c>
      <c r="S34" s="221">
        <f t="shared" si="24"/>
        <v>23</v>
      </c>
      <c r="T34" s="222">
        <f t="shared" si="24"/>
        <v>670</v>
      </c>
      <c r="U34" s="220">
        <f t="shared" si="24"/>
        <v>482</v>
      </c>
      <c r="V34" s="221">
        <f t="shared" si="24"/>
        <v>519</v>
      </c>
      <c r="W34" s="221">
        <f t="shared" si="24"/>
        <v>353</v>
      </c>
      <c r="X34" s="221">
        <f t="shared" si="24"/>
        <v>121</v>
      </c>
      <c r="Y34" s="221">
        <f t="shared" si="24"/>
        <v>46</v>
      </c>
      <c r="Z34" s="221">
        <f t="shared" si="24"/>
        <v>21</v>
      </c>
      <c r="AA34" s="221">
        <f t="shared" si="24"/>
        <v>46</v>
      </c>
      <c r="AB34" s="222">
        <f t="shared" si="24"/>
        <v>1588</v>
      </c>
      <c r="AC34" s="7"/>
      <c r="AD34" s="7">
        <f>IF(T34='性別・年齢別対象者数'!E34,"","ｴﾗｰ")</f>
      </c>
      <c r="AE34" s="7">
        <f>IF(AB34='性別・年齢別対象者数'!F34,"","ｴﾗｰ")</f>
      </c>
      <c r="AF34" s="6">
        <f>IF(L34='性別・年齢別対象者数'!G34,"","ｴﾗｰ")</f>
      </c>
    </row>
    <row r="35" spans="1:32" ht="19.5" customHeight="1">
      <c r="A35" s="7"/>
      <c r="B35" s="650" t="s">
        <v>97</v>
      </c>
      <c r="C35" s="746" t="s">
        <v>24</v>
      </c>
      <c r="D35" s="747"/>
      <c r="E35" s="165">
        <f aca="true" t="shared" si="25" ref="E35:K35">M35+U35</f>
        <v>593</v>
      </c>
      <c r="F35" s="166">
        <f t="shared" si="25"/>
        <v>636</v>
      </c>
      <c r="G35" s="166">
        <f t="shared" si="25"/>
        <v>299</v>
      </c>
      <c r="H35" s="167">
        <f t="shared" si="25"/>
        <v>92</v>
      </c>
      <c r="I35" s="167">
        <f t="shared" si="25"/>
        <v>38</v>
      </c>
      <c r="J35" s="167">
        <f t="shared" si="25"/>
        <v>18</v>
      </c>
      <c r="K35" s="168">
        <f t="shared" si="25"/>
        <v>22</v>
      </c>
      <c r="L35" s="169">
        <f t="shared" si="1"/>
        <v>1698</v>
      </c>
      <c r="M35" s="363">
        <v>185</v>
      </c>
      <c r="N35" s="364">
        <v>196</v>
      </c>
      <c r="O35" s="364">
        <v>50</v>
      </c>
      <c r="P35" s="365">
        <v>15</v>
      </c>
      <c r="Q35" s="365">
        <v>7</v>
      </c>
      <c r="R35" s="365">
        <v>7</v>
      </c>
      <c r="S35" s="366">
        <v>10</v>
      </c>
      <c r="T35" s="170">
        <f t="shared" si="2"/>
        <v>470</v>
      </c>
      <c r="U35" s="363">
        <v>408</v>
      </c>
      <c r="V35" s="364">
        <v>440</v>
      </c>
      <c r="W35" s="364">
        <v>249</v>
      </c>
      <c r="X35" s="365">
        <v>77</v>
      </c>
      <c r="Y35" s="365">
        <v>31</v>
      </c>
      <c r="Z35" s="365">
        <v>11</v>
      </c>
      <c r="AA35" s="366">
        <v>12</v>
      </c>
      <c r="AB35" s="170">
        <f aca="true" t="shared" si="26" ref="AB35:AB41">SUM(U35:AA35)</f>
        <v>1228</v>
      </c>
      <c r="AC35" s="7"/>
      <c r="AD35" s="7">
        <f>IF(T35='性別・年齢別対象者数'!E35,"","ｴﾗｰ")</f>
      </c>
      <c r="AE35" s="7">
        <f>IF(AB35='性別・年齢別対象者数'!F35,"","ｴﾗｰ")</f>
      </c>
      <c r="AF35" s="6">
        <f>IF(L35='性別・年齢別対象者数'!G35,"","ｴﾗｰ")</f>
      </c>
    </row>
    <row r="36" spans="1:32" ht="19.5" customHeight="1">
      <c r="A36" s="7"/>
      <c r="B36" s="651"/>
      <c r="C36" s="748" t="s">
        <v>25</v>
      </c>
      <c r="D36" s="749"/>
      <c r="E36" s="186">
        <f aca="true" t="shared" si="27" ref="E36:E41">M36+U36</f>
        <v>37</v>
      </c>
      <c r="F36" s="187">
        <f aca="true" t="shared" si="28" ref="F36:F41">N36+V36</f>
        <v>45</v>
      </c>
      <c r="G36" s="187">
        <f aca="true" t="shared" si="29" ref="G36:G41">O36+W36</f>
        <v>33</v>
      </c>
      <c r="H36" s="188">
        <f aca="true" t="shared" si="30" ref="H36:H41">P36+X36</f>
        <v>4</v>
      </c>
      <c r="I36" s="188">
        <f aca="true" t="shared" si="31" ref="I36:I41">Q36+Y36</f>
        <v>2</v>
      </c>
      <c r="J36" s="188">
        <f aca="true" t="shared" si="32" ref="J36:J41">R36+Z36</f>
        <v>0</v>
      </c>
      <c r="K36" s="189">
        <f aca="true" t="shared" si="33" ref="K36:K41">S36+AA36</f>
        <v>0</v>
      </c>
      <c r="L36" s="190">
        <f t="shared" si="1"/>
        <v>121</v>
      </c>
      <c r="M36" s="350">
        <v>10</v>
      </c>
      <c r="N36" s="351">
        <v>10</v>
      </c>
      <c r="O36" s="351">
        <v>10</v>
      </c>
      <c r="P36" s="352">
        <v>1</v>
      </c>
      <c r="Q36" s="352">
        <v>1</v>
      </c>
      <c r="R36" s="352">
        <v>0</v>
      </c>
      <c r="S36" s="353">
        <v>0</v>
      </c>
      <c r="T36" s="170">
        <f t="shared" si="2"/>
        <v>32</v>
      </c>
      <c r="U36" s="350">
        <v>27</v>
      </c>
      <c r="V36" s="351">
        <v>35</v>
      </c>
      <c r="W36" s="351">
        <v>23</v>
      </c>
      <c r="X36" s="352">
        <v>3</v>
      </c>
      <c r="Y36" s="352">
        <v>1</v>
      </c>
      <c r="Z36" s="352">
        <v>0</v>
      </c>
      <c r="AA36" s="353">
        <v>0</v>
      </c>
      <c r="AB36" s="170">
        <f t="shared" si="26"/>
        <v>89</v>
      </c>
      <c r="AC36" s="7"/>
      <c r="AD36" s="7">
        <f>IF(T36='性別・年齢別対象者数'!E36,"","ｴﾗｰ")</f>
      </c>
      <c r="AE36" s="7">
        <f>IF(AB36='性別・年齢別対象者数'!F36,"","ｴﾗｰ")</f>
      </c>
      <c r="AF36" s="6">
        <f>IF(L36='性別・年齢別対象者数'!G36,"","ｴﾗｰ")</f>
      </c>
    </row>
    <row r="37" spans="1:32" ht="19.5" customHeight="1">
      <c r="A37" s="7"/>
      <c r="B37" s="651"/>
      <c r="C37" s="748" t="s">
        <v>26</v>
      </c>
      <c r="D37" s="749"/>
      <c r="E37" s="186">
        <f t="shared" si="27"/>
        <v>26</v>
      </c>
      <c r="F37" s="187">
        <f t="shared" si="28"/>
        <v>13</v>
      </c>
      <c r="G37" s="187">
        <f t="shared" si="29"/>
        <v>9</v>
      </c>
      <c r="H37" s="188">
        <f t="shared" si="30"/>
        <v>3</v>
      </c>
      <c r="I37" s="188">
        <f t="shared" si="31"/>
        <v>1</v>
      </c>
      <c r="J37" s="188">
        <f t="shared" si="32"/>
        <v>0</v>
      </c>
      <c r="K37" s="189">
        <f t="shared" si="33"/>
        <v>2</v>
      </c>
      <c r="L37" s="190">
        <f t="shared" si="1"/>
        <v>54</v>
      </c>
      <c r="M37" s="350">
        <v>14</v>
      </c>
      <c r="N37" s="351">
        <v>4</v>
      </c>
      <c r="O37" s="351">
        <v>2</v>
      </c>
      <c r="P37" s="352">
        <v>1</v>
      </c>
      <c r="Q37" s="352">
        <v>0</v>
      </c>
      <c r="R37" s="352">
        <v>0</v>
      </c>
      <c r="S37" s="353">
        <v>0</v>
      </c>
      <c r="T37" s="170">
        <f t="shared" si="2"/>
        <v>21</v>
      </c>
      <c r="U37" s="350">
        <v>12</v>
      </c>
      <c r="V37" s="351">
        <v>9</v>
      </c>
      <c r="W37" s="351">
        <v>7</v>
      </c>
      <c r="X37" s="352">
        <v>2</v>
      </c>
      <c r="Y37" s="352">
        <v>1</v>
      </c>
      <c r="Z37" s="352">
        <v>0</v>
      </c>
      <c r="AA37" s="353">
        <v>2</v>
      </c>
      <c r="AB37" s="170">
        <f t="shared" si="26"/>
        <v>33</v>
      </c>
      <c r="AC37" s="7"/>
      <c r="AD37" s="7">
        <f>IF(T37='性別・年齢別対象者数'!E37,"","ｴﾗｰ")</f>
      </c>
      <c r="AE37" s="7">
        <f>IF(AB37='性別・年齢別対象者数'!F37,"","ｴﾗｰ")</f>
      </c>
      <c r="AF37" s="6">
        <f>IF(L37='性別・年齢別対象者数'!G37,"","ｴﾗｰ")</f>
      </c>
    </row>
    <row r="38" spans="1:31" ht="19.5" customHeight="1">
      <c r="A38" s="7"/>
      <c r="B38" s="651"/>
      <c r="C38" s="748" t="s">
        <v>27</v>
      </c>
      <c r="D38" s="749"/>
      <c r="E38" s="192">
        <f aca="true" t="shared" si="34" ref="E38:K38">M38+U38</f>
        <v>46</v>
      </c>
      <c r="F38" s="193">
        <f t="shared" si="34"/>
        <v>46</v>
      </c>
      <c r="G38" s="193">
        <f t="shared" si="34"/>
        <v>24</v>
      </c>
      <c r="H38" s="194">
        <f t="shared" si="34"/>
        <v>10</v>
      </c>
      <c r="I38" s="194">
        <f t="shared" si="34"/>
        <v>4</v>
      </c>
      <c r="J38" s="194">
        <f t="shared" si="34"/>
        <v>2</v>
      </c>
      <c r="K38" s="195">
        <f t="shared" si="34"/>
        <v>3</v>
      </c>
      <c r="L38" s="196">
        <f>SUM(E38:K38)</f>
        <v>135</v>
      </c>
      <c r="M38" s="354">
        <v>18</v>
      </c>
      <c r="N38" s="355">
        <v>20</v>
      </c>
      <c r="O38" s="355">
        <v>4</v>
      </c>
      <c r="P38" s="356">
        <v>1</v>
      </c>
      <c r="Q38" s="356">
        <v>1</v>
      </c>
      <c r="R38" s="356">
        <v>0</v>
      </c>
      <c r="S38" s="357">
        <v>0</v>
      </c>
      <c r="T38" s="170">
        <f t="shared" si="2"/>
        <v>44</v>
      </c>
      <c r="U38" s="354">
        <v>28</v>
      </c>
      <c r="V38" s="355">
        <v>26</v>
      </c>
      <c r="W38" s="355">
        <v>20</v>
      </c>
      <c r="X38" s="356">
        <v>9</v>
      </c>
      <c r="Y38" s="356">
        <v>3</v>
      </c>
      <c r="Z38" s="356">
        <v>2</v>
      </c>
      <c r="AA38" s="357">
        <v>3</v>
      </c>
      <c r="AB38" s="191">
        <f>SUM(U38:AA38)</f>
        <v>91</v>
      </c>
      <c r="AC38" s="7"/>
      <c r="AD38" s="7"/>
      <c r="AE38" s="7"/>
    </row>
    <row r="39" spans="1:32" ht="19.5" customHeight="1" thickBot="1">
      <c r="A39" s="7"/>
      <c r="B39" s="651"/>
      <c r="C39" s="750" t="s">
        <v>67</v>
      </c>
      <c r="D39" s="751"/>
      <c r="E39" s="186">
        <f t="shared" si="27"/>
        <v>305</v>
      </c>
      <c r="F39" s="187">
        <f t="shared" si="28"/>
        <v>323</v>
      </c>
      <c r="G39" s="187">
        <f t="shared" si="29"/>
        <v>135</v>
      </c>
      <c r="H39" s="188">
        <f t="shared" si="30"/>
        <v>57</v>
      </c>
      <c r="I39" s="188">
        <f t="shared" si="31"/>
        <v>9</v>
      </c>
      <c r="J39" s="188">
        <f t="shared" si="32"/>
        <v>8</v>
      </c>
      <c r="K39" s="189">
        <f t="shared" si="33"/>
        <v>56</v>
      </c>
      <c r="L39" s="190">
        <f t="shared" si="1"/>
        <v>893</v>
      </c>
      <c r="M39" s="350">
        <v>92</v>
      </c>
      <c r="N39" s="351">
        <v>108</v>
      </c>
      <c r="O39" s="351">
        <v>19</v>
      </c>
      <c r="P39" s="352">
        <v>10</v>
      </c>
      <c r="Q39" s="352">
        <v>1</v>
      </c>
      <c r="R39" s="352">
        <v>3</v>
      </c>
      <c r="S39" s="353">
        <v>22</v>
      </c>
      <c r="T39" s="170">
        <f t="shared" si="2"/>
        <v>255</v>
      </c>
      <c r="U39" s="350">
        <v>213</v>
      </c>
      <c r="V39" s="351">
        <v>215</v>
      </c>
      <c r="W39" s="351">
        <v>116</v>
      </c>
      <c r="X39" s="352">
        <v>47</v>
      </c>
      <c r="Y39" s="352">
        <v>8</v>
      </c>
      <c r="Z39" s="352">
        <v>5</v>
      </c>
      <c r="AA39" s="353">
        <v>34</v>
      </c>
      <c r="AB39" s="170">
        <f t="shared" si="26"/>
        <v>638</v>
      </c>
      <c r="AC39" s="7"/>
      <c r="AD39" s="7">
        <f>IF(T39='性別・年齢別対象者数'!E39,"","ｴﾗｰ")</f>
      </c>
      <c r="AE39" s="7">
        <f>IF(AB39='性別・年齢別対象者数'!F39,"","ｴﾗｰ")</f>
      </c>
      <c r="AF39" s="6">
        <f>IF(L39='性別・年齢別対象者数'!G39,"","ｴﾗｰ")</f>
      </c>
    </row>
    <row r="40" spans="1:32" ht="19.5" customHeight="1" thickBot="1" thickTop="1">
      <c r="A40" s="7"/>
      <c r="B40" s="652"/>
      <c r="C40" s="752" t="s">
        <v>7</v>
      </c>
      <c r="D40" s="753"/>
      <c r="E40" s="171">
        <f aca="true" t="shared" si="35" ref="E40:K40">SUM(E35:E39)</f>
        <v>1007</v>
      </c>
      <c r="F40" s="172">
        <f t="shared" si="35"/>
        <v>1063</v>
      </c>
      <c r="G40" s="172">
        <f t="shared" si="35"/>
        <v>500</v>
      </c>
      <c r="H40" s="173">
        <f t="shared" si="35"/>
        <v>166</v>
      </c>
      <c r="I40" s="173">
        <f t="shared" si="35"/>
        <v>54</v>
      </c>
      <c r="J40" s="173">
        <f t="shared" si="35"/>
        <v>28</v>
      </c>
      <c r="K40" s="174">
        <f t="shared" si="35"/>
        <v>83</v>
      </c>
      <c r="L40" s="175">
        <f t="shared" si="1"/>
        <v>2901</v>
      </c>
      <c r="M40" s="176">
        <f aca="true" t="shared" si="36" ref="M40:S40">SUM(M35:M39)</f>
        <v>319</v>
      </c>
      <c r="N40" s="177">
        <f t="shared" si="36"/>
        <v>338</v>
      </c>
      <c r="O40" s="177">
        <f t="shared" si="36"/>
        <v>85</v>
      </c>
      <c r="P40" s="178">
        <f t="shared" si="36"/>
        <v>28</v>
      </c>
      <c r="Q40" s="178">
        <f t="shared" si="36"/>
        <v>10</v>
      </c>
      <c r="R40" s="178">
        <f t="shared" si="36"/>
        <v>10</v>
      </c>
      <c r="S40" s="179">
        <f t="shared" si="36"/>
        <v>32</v>
      </c>
      <c r="T40" s="180">
        <f t="shared" si="2"/>
        <v>822</v>
      </c>
      <c r="U40" s="176">
        <f aca="true" t="shared" si="37" ref="U40:AA40">SUM(U35:U39)</f>
        <v>688</v>
      </c>
      <c r="V40" s="177">
        <f t="shared" si="37"/>
        <v>725</v>
      </c>
      <c r="W40" s="177">
        <f t="shared" si="37"/>
        <v>415</v>
      </c>
      <c r="X40" s="178">
        <f t="shared" si="37"/>
        <v>138</v>
      </c>
      <c r="Y40" s="178">
        <f t="shared" si="37"/>
        <v>44</v>
      </c>
      <c r="Z40" s="178">
        <f t="shared" si="37"/>
        <v>18</v>
      </c>
      <c r="AA40" s="179">
        <f t="shared" si="37"/>
        <v>51</v>
      </c>
      <c r="AB40" s="180">
        <f t="shared" si="26"/>
        <v>2079</v>
      </c>
      <c r="AC40" s="7"/>
      <c r="AD40" s="7">
        <f>IF(T40='性別・年齢別対象者数'!E40,"","ｴﾗｰ")</f>
      </c>
      <c r="AE40" s="7">
        <f>IF(AB40='性別・年齢別対象者数'!F40,"","ｴﾗｰ")</f>
      </c>
      <c r="AF40" s="6">
        <f>IF(L40='性別・年齢別対象者数'!G40,"","ｴﾗｰ")</f>
      </c>
    </row>
    <row r="41" spans="1:32" ht="19.5" customHeight="1" thickBot="1">
      <c r="A41" s="7"/>
      <c r="B41" s="646" t="s">
        <v>49</v>
      </c>
      <c r="C41" s="756" t="s">
        <v>31</v>
      </c>
      <c r="D41" s="757"/>
      <c r="E41" s="223">
        <f t="shared" si="27"/>
        <v>1694</v>
      </c>
      <c r="F41" s="224">
        <f t="shared" si="28"/>
        <v>1621</v>
      </c>
      <c r="G41" s="224">
        <f t="shared" si="29"/>
        <v>741</v>
      </c>
      <c r="H41" s="225">
        <f t="shared" si="30"/>
        <v>299</v>
      </c>
      <c r="I41" s="225">
        <f t="shared" si="31"/>
        <v>121</v>
      </c>
      <c r="J41" s="225">
        <f t="shared" si="32"/>
        <v>65</v>
      </c>
      <c r="K41" s="226">
        <f t="shared" si="33"/>
        <v>11</v>
      </c>
      <c r="L41" s="227">
        <f t="shared" si="1"/>
        <v>4552</v>
      </c>
      <c r="M41" s="358">
        <v>570</v>
      </c>
      <c r="N41" s="347">
        <v>560</v>
      </c>
      <c r="O41" s="346">
        <v>178</v>
      </c>
      <c r="P41" s="373">
        <v>56</v>
      </c>
      <c r="Q41" s="373">
        <v>28</v>
      </c>
      <c r="R41" s="373">
        <v>16</v>
      </c>
      <c r="S41" s="374">
        <v>4</v>
      </c>
      <c r="T41" s="202">
        <f t="shared" si="2"/>
        <v>1412</v>
      </c>
      <c r="U41" s="358">
        <v>1124</v>
      </c>
      <c r="V41" s="347">
        <v>1061</v>
      </c>
      <c r="W41" s="346">
        <v>563</v>
      </c>
      <c r="X41" s="373">
        <v>243</v>
      </c>
      <c r="Y41" s="373">
        <v>93</v>
      </c>
      <c r="Z41" s="373">
        <v>49</v>
      </c>
      <c r="AA41" s="374">
        <v>7</v>
      </c>
      <c r="AB41" s="202">
        <f t="shared" si="26"/>
        <v>3140</v>
      </c>
      <c r="AC41" s="7"/>
      <c r="AD41" s="7">
        <f>IF(T41='性別・年齢別対象者数'!E41,"","ｴﾗｰ")</f>
      </c>
      <c r="AE41" s="7">
        <f>IF(AB41='性別・年齢別対象者数'!F41,"","ｴﾗｰ")</f>
      </c>
      <c r="AF41" s="6">
        <f>IF(L41='性別・年齢別対象者数'!G41,"","ｴﾗｰ")</f>
      </c>
    </row>
    <row r="42" spans="1:32" ht="19.5" customHeight="1" thickBot="1" thickTop="1">
      <c r="A42" s="7"/>
      <c r="B42" s="648"/>
      <c r="C42" s="744" t="s">
        <v>7</v>
      </c>
      <c r="D42" s="745"/>
      <c r="E42" s="171">
        <f>E41</f>
        <v>1694</v>
      </c>
      <c r="F42" s="172">
        <f aca="true" t="shared" si="38" ref="F42:K42">F41</f>
        <v>1621</v>
      </c>
      <c r="G42" s="172">
        <f t="shared" si="38"/>
        <v>741</v>
      </c>
      <c r="H42" s="172">
        <f t="shared" si="38"/>
        <v>299</v>
      </c>
      <c r="I42" s="172">
        <f t="shared" si="38"/>
        <v>121</v>
      </c>
      <c r="J42" s="172">
        <f t="shared" si="38"/>
        <v>65</v>
      </c>
      <c r="K42" s="212">
        <f t="shared" si="38"/>
        <v>11</v>
      </c>
      <c r="L42" s="218">
        <f>L41</f>
        <v>4552</v>
      </c>
      <c r="M42" s="176">
        <f aca="true" t="shared" si="39" ref="M42:S42">M41</f>
        <v>570</v>
      </c>
      <c r="N42" s="213">
        <f t="shared" si="39"/>
        <v>560</v>
      </c>
      <c r="O42" s="213">
        <f t="shared" si="39"/>
        <v>178</v>
      </c>
      <c r="P42" s="213">
        <f t="shared" si="39"/>
        <v>56</v>
      </c>
      <c r="Q42" s="213">
        <f t="shared" si="39"/>
        <v>28</v>
      </c>
      <c r="R42" s="213">
        <f t="shared" si="39"/>
        <v>16</v>
      </c>
      <c r="S42" s="213">
        <f t="shared" si="39"/>
        <v>4</v>
      </c>
      <c r="T42" s="180">
        <f>T41</f>
        <v>1412</v>
      </c>
      <c r="U42" s="176">
        <f aca="true" t="shared" si="40" ref="U42:AA42">U41</f>
        <v>1124</v>
      </c>
      <c r="V42" s="213">
        <f t="shared" si="40"/>
        <v>1061</v>
      </c>
      <c r="W42" s="213">
        <f t="shared" si="40"/>
        <v>563</v>
      </c>
      <c r="X42" s="213">
        <f t="shared" si="40"/>
        <v>243</v>
      </c>
      <c r="Y42" s="213">
        <f t="shared" si="40"/>
        <v>93</v>
      </c>
      <c r="Z42" s="213">
        <f t="shared" si="40"/>
        <v>49</v>
      </c>
      <c r="AA42" s="213">
        <f t="shared" si="40"/>
        <v>7</v>
      </c>
      <c r="AB42" s="180">
        <f>AB41</f>
        <v>3140</v>
      </c>
      <c r="AC42" s="7"/>
      <c r="AD42" s="7">
        <f>IF(T42='性別・年齢別対象者数'!E42,"","ｴﾗｰ")</f>
      </c>
      <c r="AE42" s="7">
        <f>IF(AB42='性別・年齢別対象者数'!F42,"","ｴﾗｰ")</f>
      </c>
      <c r="AF42" s="6">
        <f>IF(L42='性別・年齢別対象者数'!G42,"","ｴﾗｰ")</f>
      </c>
    </row>
    <row r="43" spans="1:32" ht="19.5" customHeight="1">
      <c r="A43" s="7"/>
      <c r="B43" s="646" t="s">
        <v>48</v>
      </c>
      <c r="C43" s="746" t="s">
        <v>30</v>
      </c>
      <c r="D43" s="747"/>
      <c r="E43" s="165">
        <f aca="true" t="shared" si="41" ref="E43:K44">M43+U43</f>
        <v>1702</v>
      </c>
      <c r="F43" s="166">
        <f t="shared" si="41"/>
        <v>1673</v>
      </c>
      <c r="G43" s="166">
        <f t="shared" si="41"/>
        <v>664</v>
      </c>
      <c r="H43" s="167">
        <f t="shared" si="41"/>
        <v>288</v>
      </c>
      <c r="I43" s="167">
        <f t="shared" si="41"/>
        <v>126</v>
      </c>
      <c r="J43" s="167">
        <f t="shared" si="41"/>
        <v>58</v>
      </c>
      <c r="K43" s="168">
        <f t="shared" si="41"/>
        <v>3</v>
      </c>
      <c r="L43" s="185">
        <f t="shared" si="1"/>
        <v>4514</v>
      </c>
      <c r="M43" s="363">
        <v>482</v>
      </c>
      <c r="N43" s="364">
        <v>430</v>
      </c>
      <c r="O43" s="364">
        <v>138</v>
      </c>
      <c r="P43" s="365">
        <v>47</v>
      </c>
      <c r="Q43" s="365">
        <v>25</v>
      </c>
      <c r="R43" s="365">
        <v>17</v>
      </c>
      <c r="S43" s="366">
        <v>3</v>
      </c>
      <c r="T43" s="170">
        <f t="shared" si="2"/>
        <v>1142</v>
      </c>
      <c r="U43" s="363">
        <v>1220</v>
      </c>
      <c r="V43" s="364">
        <v>1243</v>
      </c>
      <c r="W43" s="364">
        <v>526</v>
      </c>
      <c r="X43" s="365">
        <v>241</v>
      </c>
      <c r="Y43" s="365">
        <v>101</v>
      </c>
      <c r="Z43" s="365">
        <v>41</v>
      </c>
      <c r="AA43" s="366">
        <v>0</v>
      </c>
      <c r="AB43" s="170">
        <f>SUM(U43:AA43)</f>
        <v>3372</v>
      </c>
      <c r="AC43" s="7"/>
      <c r="AD43" s="7">
        <f>IF(T43='性別・年齢別対象者数'!E43,"","ｴﾗｰ")</f>
      </c>
      <c r="AE43" s="7">
        <f>IF(AB43='性別・年齢別対象者数'!F43,"","ｴﾗｰ")</f>
      </c>
      <c r="AF43" s="6">
        <f>IF(L43='性別・年齢別対象者数'!G43,"","ｴﾗｰ")</f>
      </c>
    </row>
    <row r="44" spans="1:32" ht="19.5" customHeight="1" thickBot="1">
      <c r="A44" s="7"/>
      <c r="B44" s="647"/>
      <c r="C44" s="742" t="s">
        <v>68</v>
      </c>
      <c r="D44" s="743"/>
      <c r="E44" s="223">
        <f t="shared" si="41"/>
        <v>463</v>
      </c>
      <c r="F44" s="224">
        <f t="shared" si="41"/>
        <v>417</v>
      </c>
      <c r="G44" s="224">
        <f t="shared" si="41"/>
        <v>243</v>
      </c>
      <c r="H44" s="225">
        <f t="shared" si="41"/>
        <v>97</v>
      </c>
      <c r="I44" s="225">
        <f t="shared" si="41"/>
        <v>29</v>
      </c>
      <c r="J44" s="225">
        <f t="shared" si="41"/>
        <v>15</v>
      </c>
      <c r="K44" s="226">
        <f t="shared" si="41"/>
        <v>59</v>
      </c>
      <c r="L44" s="211">
        <f t="shared" si="1"/>
        <v>1323</v>
      </c>
      <c r="M44" s="354">
        <v>159</v>
      </c>
      <c r="N44" s="355">
        <v>131</v>
      </c>
      <c r="O44" s="351">
        <v>57</v>
      </c>
      <c r="P44" s="367">
        <v>17</v>
      </c>
      <c r="Q44" s="367">
        <v>10</v>
      </c>
      <c r="R44" s="367">
        <v>6</v>
      </c>
      <c r="S44" s="368">
        <v>17</v>
      </c>
      <c r="T44" s="202">
        <f t="shared" si="2"/>
        <v>397</v>
      </c>
      <c r="U44" s="354">
        <v>304</v>
      </c>
      <c r="V44" s="355">
        <v>286</v>
      </c>
      <c r="W44" s="351">
        <v>186</v>
      </c>
      <c r="X44" s="367">
        <v>80</v>
      </c>
      <c r="Y44" s="367">
        <v>19</v>
      </c>
      <c r="Z44" s="367">
        <v>9</v>
      </c>
      <c r="AA44" s="368">
        <v>42</v>
      </c>
      <c r="AB44" s="202">
        <f>SUM(U44:AA44)</f>
        <v>926</v>
      </c>
      <c r="AC44" s="7"/>
      <c r="AD44" s="7">
        <f>IF(T44='性別・年齢別対象者数'!E44,"","ｴﾗｰ")</f>
      </c>
      <c r="AE44" s="7">
        <f>IF(AB44='性別・年齢別対象者数'!F44,"","ｴﾗｰ")</f>
      </c>
      <c r="AF44" s="6">
        <f>IF(L44='性別・年齢別対象者数'!G44,"","ｴﾗｰ")</f>
      </c>
    </row>
    <row r="45" spans="1:32" ht="19.5" customHeight="1" thickBot="1" thickTop="1">
      <c r="A45" s="7"/>
      <c r="B45" s="648"/>
      <c r="C45" s="744" t="s">
        <v>7</v>
      </c>
      <c r="D45" s="745"/>
      <c r="E45" s="198">
        <f aca="true" t="shared" si="42" ref="E45:AB45">SUM(E43:E44)</f>
        <v>2165</v>
      </c>
      <c r="F45" s="199">
        <f t="shared" si="42"/>
        <v>2090</v>
      </c>
      <c r="G45" s="199">
        <f t="shared" si="42"/>
        <v>907</v>
      </c>
      <c r="H45" s="199">
        <f t="shared" si="42"/>
        <v>385</v>
      </c>
      <c r="I45" s="199">
        <f t="shared" si="42"/>
        <v>155</v>
      </c>
      <c r="J45" s="199">
        <f t="shared" si="42"/>
        <v>73</v>
      </c>
      <c r="K45" s="200">
        <f t="shared" si="42"/>
        <v>62</v>
      </c>
      <c r="L45" s="201">
        <f t="shared" si="42"/>
        <v>5837</v>
      </c>
      <c r="M45" s="176">
        <f t="shared" si="42"/>
        <v>641</v>
      </c>
      <c r="N45" s="213">
        <f t="shared" si="42"/>
        <v>561</v>
      </c>
      <c r="O45" s="213">
        <f t="shared" si="42"/>
        <v>195</v>
      </c>
      <c r="P45" s="213">
        <f t="shared" si="42"/>
        <v>64</v>
      </c>
      <c r="Q45" s="213">
        <f t="shared" si="42"/>
        <v>35</v>
      </c>
      <c r="R45" s="213">
        <f t="shared" si="42"/>
        <v>23</v>
      </c>
      <c r="S45" s="213">
        <f t="shared" si="42"/>
        <v>20</v>
      </c>
      <c r="T45" s="180">
        <f t="shared" si="42"/>
        <v>1539</v>
      </c>
      <c r="U45" s="176">
        <f t="shared" si="42"/>
        <v>1524</v>
      </c>
      <c r="V45" s="213">
        <f t="shared" si="42"/>
        <v>1529</v>
      </c>
      <c r="W45" s="213">
        <f t="shared" si="42"/>
        <v>712</v>
      </c>
      <c r="X45" s="213">
        <f t="shared" si="42"/>
        <v>321</v>
      </c>
      <c r="Y45" s="213">
        <f t="shared" si="42"/>
        <v>120</v>
      </c>
      <c r="Z45" s="213">
        <f t="shared" si="42"/>
        <v>50</v>
      </c>
      <c r="AA45" s="213">
        <f t="shared" si="42"/>
        <v>42</v>
      </c>
      <c r="AB45" s="180">
        <f t="shared" si="42"/>
        <v>4298</v>
      </c>
      <c r="AC45" s="7"/>
      <c r="AD45" s="7">
        <f>IF(T45='性別・年齢別対象者数'!E45,"","ｴﾗｰ")</f>
      </c>
      <c r="AE45" s="7">
        <f>IF(AB45='性別・年齢別対象者数'!F45,"","ｴﾗｰ")</f>
      </c>
      <c r="AF45" s="6">
        <f>IF(L45='性別・年齢別対象者数'!G45,"","ｴﾗｰ")</f>
      </c>
    </row>
    <row r="46" spans="1:32" ht="19.5" customHeight="1">
      <c r="A46" s="7"/>
      <c r="B46" s="655" t="s">
        <v>50</v>
      </c>
      <c r="C46" s="746" t="s">
        <v>32</v>
      </c>
      <c r="D46" s="747"/>
      <c r="E46" s="165">
        <f aca="true" t="shared" si="43" ref="E46:K46">M46+U46</f>
        <v>635</v>
      </c>
      <c r="F46" s="166">
        <f t="shared" si="43"/>
        <v>752</v>
      </c>
      <c r="G46" s="166">
        <f t="shared" si="43"/>
        <v>319</v>
      </c>
      <c r="H46" s="167">
        <f t="shared" si="43"/>
        <v>106</v>
      </c>
      <c r="I46" s="167">
        <f t="shared" si="43"/>
        <v>45</v>
      </c>
      <c r="J46" s="167">
        <f t="shared" si="43"/>
        <v>21</v>
      </c>
      <c r="K46" s="168">
        <f t="shared" si="43"/>
        <v>19</v>
      </c>
      <c r="L46" s="169">
        <f t="shared" si="1"/>
        <v>1897</v>
      </c>
      <c r="M46" s="363">
        <v>199</v>
      </c>
      <c r="N46" s="364">
        <v>203</v>
      </c>
      <c r="O46" s="364">
        <v>79</v>
      </c>
      <c r="P46" s="365">
        <v>18</v>
      </c>
      <c r="Q46" s="365">
        <v>10</v>
      </c>
      <c r="R46" s="365">
        <v>5</v>
      </c>
      <c r="S46" s="366">
        <v>6</v>
      </c>
      <c r="T46" s="170">
        <f t="shared" si="2"/>
        <v>520</v>
      </c>
      <c r="U46" s="363">
        <v>436</v>
      </c>
      <c r="V46" s="364">
        <v>549</v>
      </c>
      <c r="W46" s="364">
        <v>240</v>
      </c>
      <c r="X46" s="365">
        <v>88</v>
      </c>
      <c r="Y46" s="365">
        <v>35</v>
      </c>
      <c r="Z46" s="365">
        <v>16</v>
      </c>
      <c r="AA46" s="366">
        <v>13</v>
      </c>
      <c r="AB46" s="170">
        <f aca="true" t="shared" si="44" ref="AB46:AB52">SUM(U46:AA46)</f>
        <v>1377</v>
      </c>
      <c r="AC46" s="7"/>
      <c r="AD46" s="7">
        <f>IF(T46='性別・年齢別対象者数'!E46,"","ｴﾗｰ")</f>
      </c>
      <c r="AE46" s="7">
        <f>IF(AB46='性別・年齢別対象者数'!F46,"","ｴﾗｰ")</f>
      </c>
      <c r="AF46" s="6">
        <f>IF(L46='性別・年齢別対象者数'!G46,"","ｴﾗｰ")</f>
      </c>
    </row>
    <row r="47" spans="1:32" ht="19.5" customHeight="1">
      <c r="A47" s="7"/>
      <c r="B47" s="651"/>
      <c r="C47" s="748" t="s">
        <v>33</v>
      </c>
      <c r="D47" s="749"/>
      <c r="E47" s="186">
        <f>M47+U47</f>
        <v>87</v>
      </c>
      <c r="F47" s="187">
        <f aca="true" t="shared" si="45" ref="F47:K51">N47+V47</f>
        <v>87</v>
      </c>
      <c r="G47" s="187">
        <f t="shared" si="45"/>
        <v>44</v>
      </c>
      <c r="H47" s="188">
        <f t="shared" si="45"/>
        <v>13</v>
      </c>
      <c r="I47" s="188">
        <f t="shared" si="45"/>
        <v>6</v>
      </c>
      <c r="J47" s="188">
        <f t="shared" si="45"/>
        <v>7</v>
      </c>
      <c r="K47" s="189">
        <f t="shared" si="45"/>
        <v>3</v>
      </c>
      <c r="L47" s="190">
        <f t="shared" si="1"/>
        <v>247</v>
      </c>
      <c r="M47" s="350">
        <v>28</v>
      </c>
      <c r="N47" s="351">
        <v>31</v>
      </c>
      <c r="O47" s="351">
        <v>13</v>
      </c>
      <c r="P47" s="352">
        <v>1</v>
      </c>
      <c r="Q47" s="352">
        <v>1</v>
      </c>
      <c r="R47" s="352">
        <v>2</v>
      </c>
      <c r="S47" s="353">
        <v>1</v>
      </c>
      <c r="T47" s="170">
        <f>SUM(M47:S47)</f>
        <v>77</v>
      </c>
      <c r="U47" s="350">
        <v>59</v>
      </c>
      <c r="V47" s="351">
        <v>56</v>
      </c>
      <c r="W47" s="351">
        <v>31</v>
      </c>
      <c r="X47" s="352">
        <v>12</v>
      </c>
      <c r="Y47" s="352">
        <v>5</v>
      </c>
      <c r="Z47" s="352">
        <v>5</v>
      </c>
      <c r="AA47" s="353">
        <v>2</v>
      </c>
      <c r="AB47" s="170">
        <f t="shared" si="44"/>
        <v>170</v>
      </c>
      <c r="AC47" s="7"/>
      <c r="AD47" s="7">
        <f>IF(T47='性別・年齢別対象者数'!E47,"","ｴﾗｰ")</f>
      </c>
      <c r="AE47" s="7">
        <f>IF(AB47='性別・年齢別対象者数'!F47,"","ｴﾗｰ")</f>
      </c>
      <c r="AF47" s="6">
        <f>IF(L47='性別・年齢別対象者数'!G47,"","ｴﾗｰ")</f>
      </c>
    </row>
    <row r="48" spans="1:32" ht="19.5" customHeight="1">
      <c r="A48" s="7"/>
      <c r="B48" s="651"/>
      <c r="C48" s="748" t="s">
        <v>34</v>
      </c>
      <c r="D48" s="749"/>
      <c r="E48" s="186">
        <f>M48+U48</f>
        <v>82</v>
      </c>
      <c r="F48" s="187">
        <f t="shared" si="45"/>
        <v>76</v>
      </c>
      <c r="G48" s="187">
        <f t="shared" si="45"/>
        <v>44</v>
      </c>
      <c r="H48" s="188">
        <f t="shared" si="45"/>
        <v>17</v>
      </c>
      <c r="I48" s="188">
        <f t="shared" si="45"/>
        <v>7</v>
      </c>
      <c r="J48" s="188">
        <f t="shared" si="45"/>
        <v>2</v>
      </c>
      <c r="K48" s="189">
        <f t="shared" si="45"/>
        <v>1</v>
      </c>
      <c r="L48" s="190">
        <f t="shared" si="1"/>
        <v>229</v>
      </c>
      <c r="M48" s="350">
        <v>37</v>
      </c>
      <c r="N48" s="351">
        <v>24</v>
      </c>
      <c r="O48" s="351">
        <v>17</v>
      </c>
      <c r="P48" s="352">
        <v>3</v>
      </c>
      <c r="Q48" s="352">
        <v>1</v>
      </c>
      <c r="R48" s="352">
        <v>2</v>
      </c>
      <c r="S48" s="353">
        <v>1</v>
      </c>
      <c r="T48" s="170">
        <f t="shared" si="2"/>
        <v>85</v>
      </c>
      <c r="U48" s="350">
        <v>45</v>
      </c>
      <c r="V48" s="351">
        <v>52</v>
      </c>
      <c r="W48" s="351">
        <v>27</v>
      </c>
      <c r="X48" s="352">
        <v>14</v>
      </c>
      <c r="Y48" s="352">
        <v>6</v>
      </c>
      <c r="Z48" s="352">
        <v>0</v>
      </c>
      <c r="AA48" s="353">
        <v>0</v>
      </c>
      <c r="AB48" s="170">
        <f t="shared" si="44"/>
        <v>144</v>
      </c>
      <c r="AC48" s="7"/>
      <c r="AD48" s="7">
        <f>IF(T48='性別・年齢別対象者数'!E48,"","ｴﾗｰ")</f>
      </c>
      <c r="AE48" s="7">
        <f>IF(AB48='性別・年齢別対象者数'!F48,"","ｴﾗｰ")</f>
      </c>
      <c r="AF48" s="6">
        <f>IF(L48='性別・年齢別対象者数'!G48,"","ｴﾗｰ")</f>
      </c>
    </row>
    <row r="49" spans="1:32" ht="19.5" customHeight="1">
      <c r="A49" s="7"/>
      <c r="B49" s="651"/>
      <c r="C49" s="748" t="s">
        <v>35</v>
      </c>
      <c r="D49" s="749"/>
      <c r="E49" s="186">
        <f>M49+U49</f>
        <v>88</v>
      </c>
      <c r="F49" s="187">
        <f t="shared" si="45"/>
        <v>90</v>
      </c>
      <c r="G49" s="187">
        <f t="shared" si="45"/>
        <v>38</v>
      </c>
      <c r="H49" s="188">
        <f t="shared" si="45"/>
        <v>24</v>
      </c>
      <c r="I49" s="188">
        <f t="shared" si="45"/>
        <v>3</v>
      </c>
      <c r="J49" s="188">
        <f t="shared" si="45"/>
        <v>3</v>
      </c>
      <c r="K49" s="189">
        <f t="shared" si="45"/>
        <v>0</v>
      </c>
      <c r="L49" s="190">
        <f t="shared" si="1"/>
        <v>246</v>
      </c>
      <c r="M49" s="350">
        <v>32</v>
      </c>
      <c r="N49" s="351">
        <v>31</v>
      </c>
      <c r="O49" s="351">
        <v>8</v>
      </c>
      <c r="P49" s="352">
        <v>5</v>
      </c>
      <c r="Q49" s="352">
        <v>1</v>
      </c>
      <c r="R49" s="352">
        <v>2</v>
      </c>
      <c r="S49" s="353">
        <v>0</v>
      </c>
      <c r="T49" s="170">
        <f t="shared" si="2"/>
        <v>79</v>
      </c>
      <c r="U49" s="350">
        <v>56</v>
      </c>
      <c r="V49" s="351">
        <v>59</v>
      </c>
      <c r="W49" s="351">
        <v>30</v>
      </c>
      <c r="X49" s="352">
        <v>19</v>
      </c>
      <c r="Y49" s="352">
        <v>2</v>
      </c>
      <c r="Z49" s="352">
        <v>1</v>
      </c>
      <c r="AA49" s="353">
        <v>0</v>
      </c>
      <c r="AB49" s="170">
        <f t="shared" si="44"/>
        <v>167</v>
      </c>
      <c r="AC49" s="7"/>
      <c r="AD49" s="7">
        <f>IF(T49='性別・年齢別対象者数'!E49,"","ｴﾗｰ")</f>
      </c>
      <c r="AE49" s="7">
        <f>IF(AB49='性別・年齢別対象者数'!F49,"","ｴﾗｰ")</f>
      </c>
      <c r="AF49" s="6">
        <f>IF(L49='性別・年齢別対象者数'!G49,"","ｴﾗｰ")</f>
      </c>
    </row>
    <row r="50" spans="1:32" ht="19.5" customHeight="1">
      <c r="A50" s="7"/>
      <c r="B50" s="651"/>
      <c r="C50" s="748" t="s">
        <v>36</v>
      </c>
      <c r="D50" s="749"/>
      <c r="E50" s="186">
        <f>M50+U50</f>
        <v>268</v>
      </c>
      <c r="F50" s="187">
        <f t="shared" si="45"/>
        <v>254</v>
      </c>
      <c r="G50" s="187">
        <f t="shared" si="45"/>
        <v>170</v>
      </c>
      <c r="H50" s="188">
        <f t="shared" si="45"/>
        <v>53</v>
      </c>
      <c r="I50" s="188">
        <f t="shared" si="45"/>
        <v>21</v>
      </c>
      <c r="J50" s="188">
        <f t="shared" si="45"/>
        <v>9</v>
      </c>
      <c r="K50" s="189">
        <f t="shared" si="45"/>
        <v>32</v>
      </c>
      <c r="L50" s="190">
        <f>SUM(E50:K50)</f>
        <v>807</v>
      </c>
      <c r="M50" s="350">
        <v>106</v>
      </c>
      <c r="N50" s="351">
        <v>95</v>
      </c>
      <c r="O50" s="351">
        <v>43</v>
      </c>
      <c r="P50" s="352">
        <v>10</v>
      </c>
      <c r="Q50" s="352">
        <v>5</v>
      </c>
      <c r="R50" s="352">
        <v>2</v>
      </c>
      <c r="S50" s="353">
        <v>10</v>
      </c>
      <c r="T50" s="170">
        <f>SUM(M50:S50)</f>
        <v>271</v>
      </c>
      <c r="U50" s="350">
        <v>162</v>
      </c>
      <c r="V50" s="351">
        <v>159</v>
      </c>
      <c r="W50" s="351">
        <v>127</v>
      </c>
      <c r="X50" s="352">
        <v>43</v>
      </c>
      <c r="Y50" s="352">
        <v>16</v>
      </c>
      <c r="Z50" s="352">
        <v>7</v>
      </c>
      <c r="AA50" s="353">
        <v>22</v>
      </c>
      <c r="AB50" s="170">
        <f t="shared" si="44"/>
        <v>536</v>
      </c>
      <c r="AC50" s="7"/>
      <c r="AD50" s="7" t="s">
        <v>65</v>
      </c>
      <c r="AE50" s="7">
        <f>IF(AB50='性別・年齢別対象者数'!F50,"","ｴﾗｰ")</f>
      </c>
      <c r="AF50" s="6">
        <f>IF(L50='性別・年齢別対象者数'!G50,"","ｴﾗｰ")</f>
      </c>
    </row>
    <row r="51" spans="2:32" s="7" customFormat="1" ht="19.5" customHeight="1" thickBot="1">
      <c r="B51" s="651"/>
      <c r="C51" s="742" t="s">
        <v>37</v>
      </c>
      <c r="D51" s="743"/>
      <c r="E51" s="192">
        <f>M51+U51</f>
        <v>189</v>
      </c>
      <c r="F51" s="193">
        <f t="shared" si="45"/>
        <v>148</v>
      </c>
      <c r="G51" s="193">
        <f t="shared" si="45"/>
        <v>80</v>
      </c>
      <c r="H51" s="194">
        <f t="shared" si="45"/>
        <v>36</v>
      </c>
      <c r="I51" s="194">
        <f t="shared" si="45"/>
        <v>14</v>
      </c>
      <c r="J51" s="194">
        <f t="shared" si="45"/>
        <v>11</v>
      </c>
      <c r="K51" s="195">
        <f t="shared" si="45"/>
        <v>13</v>
      </c>
      <c r="L51" s="196">
        <f>SUM(E51:K51)</f>
        <v>491</v>
      </c>
      <c r="M51" s="354">
        <v>69</v>
      </c>
      <c r="N51" s="355">
        <v>50</v>
      </c>
      <c r="O51" s="355">
        <v>23</v>
      </c>
      <c r="P51" s="356">
        <v>8</v>
      </c>
      <c r="Q51" s="356">
        <v>4</v>
      </c>
      <c r="R51" s="356">
        <v>3</v>
      </c>
      <c r="S51" s="357">
        <v>1</v>
      </c>
      <c r="T51" s="202">
        <f>SUM(M51:S51)</f>
        <v>158</v>
      </c>
      <c r="U51" s="354">
        <v>120</v>
      </c>
      <c r="V51" s="355">
        <v>98</v>
      </c>
      <c r="W51" s="355">
        <v>57</v>
      </c>
      <c r="X51" s="356">
        <v>28</v>
      </c>
      <c r="Y51" s="356">
        <v>10</v>
      </c>
      <c r="Z51" s="356">
        <v>8</v>
      </c>
      <c r="AA51" s="357">
        <v>12</v>
      </c>
      <c r="AB51" s="202">
        <f t="shared" si="44"/>
        <v>333</v>
      </c>
      <c r="AD51" s="7">
        <f>IF(T51='性別・年齢別対象者数'!E51,"","ｴﾗｰ")</f>
      </c>
      <c r="AE51" s="7">
        <f>IF(AB51='性別・年齢別対象者数'!F51,"","ｴﾗｰ")</f>
      </c>
      <c r="AF51" s="6">
        <f>IF(L51='性別・年齢別対象者数'!G51,"","ｴﾗｰ")</f>
      </c>
    </row>
    <row r="52" spans="1:32" ht="19.5" customHeight="1" thickBot="1" thickTop="1">
      <c r="A52" s="7"/>
      <c r="B52" s="652"/>
      <c r="C52" s="744" t="s">
        <v>7</v>
      </c>
      <c r="D52" s="745"/>
      <c r="E52" s="171">
        <f>SUM(E46:E51)</f>
        <v>1349</v>
      </c>
      <c r="F52" s="172">
        <f aca="true" t="shared" si="46" ref="F52:K52">SUM(F46:F51)</f>
        <v>1407</v>
      </c>
      <c r="G52" s="172">
        <f t="shared" si="46"/>
        <v>695</v>
      </c>
      <c r="H52" s="173">
        <f t="shared" si="46"/>
        <v>249</v>
      </c>
      <c r="I52" s="173">
        <f t="shared" si="46"/>
        <v>96</v>
      </c>
      <c r="J52" s="173">
        <f t="shared" si="46"/>
        <v>53</v>
      </c>
      <c r="K52" s="174">
        <f t="shared" si="46"/>
        <v>68</v>
      </c>
      <c r="L52" s="175">
        <f>SUM(E52:K52)</f>
        <v>3917</v>
      </c>
      <c r="M52" s="176">
        <f>SUM(M46:M51)</f>
        <v>471</v>
      </c>
      <c r="N52" s="177">
        <f aca="true" t="shared" si="47" ref="N52:S52">SUM(N46:N51)</f>
        <v>434</v>
      </c>
      <c r="O52" s="177">
        <f t="shared" si="47"/>
        <v>183</v>
      </c>
      <c r="P52" s="178">
        <f t="shared" si="47"/>
        <v>45</v>
      </c>
      <c r="Q52" s="178">
        <f t="shared" si="47"/>
        <v>22</v>
      </c>
      <c r="R52" s="178">
        <f t="shared" si="47"/>
        <v>16</v>
      </c>
      <c r="S52" s="179">
        <f t="shared" si="47"/>
        <v>19</v>
      </c>
      <c r="T52" s="180">
        <f>SUM(M52:S52)</f>
        <v>1190</v>
      </c>
      <c r="U52" s="176">
        <f aca="true" t="shared" si="48" ref="U52:AA52">SUM(U46:U51)</f>
        <v>878</v>
      </c>
      <c r="V52" s="177">
        <f t="shared" si="48"/>
        <v>973</v>
      </c>
      <c r="W52" s="177">
        <f t="shared" si="48"/>
        <v>512</v>
      </c>
      <c r="X52" s="178">
        <f t="shared" si="48"/>
        <v>204</v>
      </c>
      <c r="Y52" s="178">
        <f t="shared" si="48"/>
        <v>74</v>
      </c>
      <c r="Z52" s="178">
        <f t="shared" si="48"/>
        <v>37</v>
      </c>
      <c r="AA52" s="179">
        <f t="shared" si="48"/>
        <v>49</v>
      </c>
      <c r="AB52" s="180">
        <f t="shared" si="44"/>
        <v>2727</v>
      </c>
      <c r="AC52" s="7"/>
      <c r="AD52" s="7">
        <f>IF(T52='性別・年齢別対象者数'!E52,"","ｴﾗｰ")</f>
      </c>
      <c r="AE52" s="7">
        <f>IF(AB52='性別・年齢別対象者数'!F52,"","ｴﾗｰ")</f>
      </c>
      <c r="AF52" s="6">
        <f>IF(L52='性別・年齢別対象者数'!G52,"","ｴﾗｰ")</f>
      </c>
    </row>
    <row r="53" spans="2:32" s="7" customFormat="1" ht="19.5" customHeight="1">
      <c r="B53" s="458" t="s">
        <v>38</v>
      </c>
      <c r="C53" s="459"/>
      <c r="D53" s="460"/>
      <c r="E53" s="228">
        <f aca="true" t="shared" si="49" ref="E53:AB53">SUM(E12,E8,E13,E16,E17,E19,E23,E35,E41,E43,E44,E46)</f>
        <v>16928</v>
      </c>
      <c r="F53" s="229">
        <f t="shared" si="49"/>
        <v>15928</v>
      </c>
      <c r="G53" s="229">
        <f t="shared" si="49"/>
        <v>7402</v>
      </c>
      <c r="H53" s="229">
        <f t="shared" si="49"/>
        <v>2849</v>
      </c>
      <c r="I53" s="229">
        <f t="shared" si="49"/>
        <v>1226</v>
      </c>
      <c r="J53" s="229">
        <f t="shared" si="49"/>
        <v>580</v>
      </c>
      <c r="K53" s="230">
        <f t="shared" si="49"/>
        <v>583</v>
      </c>
      <c r="L53" s="231">
        <f t="shared" si="49"/>
        <v>45496</v>
      </c>
      <c r="M53" s="232">
        <f t="shared" si="49"/>
        <v>5087</v>
      </c>
      <c r="N53" s="233">
        <f t="shared" si="49"/>
        <v>4804</v>
      </c>
      <c r="O53" s="233">
        <f t="shared" si="49"/>
        <v>1644</v>
      </c>
      <c r="P53" s="233">
        <f t="shared" si="49"/>
        <v>462</v>
      </c>
      <c r="Q53" s="233">
        <f t="shared" si="49"/>
        <v>277</v>
      </c>
      <c r="R53" s="233">
        <f t="shared" si="49"/>
        <v>168</v>
      </c>
      <c r="S53" s="234">
        <f t="shared" si="49"/>
        <v>251</v>
      </c>
      <c r="T53" s="235">
        <f t="shared" si="49"/>
        <v>12693</v>
      </c>
      <c r="U53" s="236">
        <f t="shared" si="49"/>
        <v>11841</v>
      </c>
      <c r="V53" s="233">
        <f t="shared" si="49"/>
        <v>11124</v>
      </c>
      <c r="W53" s="233">
        <f t="shared" si="49"/>
        <v>5758</v>
      </c>
      <c r="X53" s="233">
        <f t="shared" si="49"/>
        <v>2387</v>
      </c>
      <c r="Y53" s="233">
        <f t="shared" si="49"/>
        <v>949</v>
      </c>
      <c r="Z53" s="233">
        <f t="shared" si="49"/>
        <v>412</v>
      </c>
      <c r="AA53" s="234">
        <f t="shared" si="49"/>
        <v>332</v>
      </c>
      <c r="AB53" s="237">
        <f t="shared" si="49"/>
        <v>32803</v>
      </c>
      <c r="AD53" s="7">
        <f>IF(T53='性別・年齢別対象者数'!E53,"","ｴﾗｰ")</f>
      </c>
      <c r="AE53" s="7">
        <f>IF(AB53='性別・年齢別対象者数'!F53,"","ｴﾗｰ")</f>
      </c>
      <c r="AF53" s="6">
        <f>IF(L53='性別・年齢別対象者数'!G53,"","ｴﾗｰ")</f>
      </c>
    </row>
    <row r="54" spans="1:32" ht="19.5" customHeight="1">
      <c r="A54" s="7"/>
      <c r="B54" s="461" t="s">
        <v>39</v>
      </c>
      <c r="C54" s="462"/>
      <c r="D54" s="463"/>
      <c r="E54" s="238">
        <f aca="true" t="shared" si="50" ref="E54:L54">E9+E10+E14+E20+E21+E24+E25+E26+E28+E29+E30+E31+E32+E33+E36+E37+E38+E39+E47+E48+E49+E50+E51</f>
        <v>2728</v>
      </c>
      <c r="F54" s="239">
        <f t="shared" si="50"/>
        <v>2720</v>
      </c>
      <c r="G54" s="239">
        <f t="shared" si="50"/>
        <v>1430</v>
      </c>
      <c r="H54" s="239">
        <f t="shared" si="50"/>
        <v>521</v>
      </c>
      <c r="I54" s="239">
        <f t="shared" si="50"/>
        <v>194</v>
      </c>
      <c r="J54" s="239">
        <f t="shared" si="50"/>
        <v>106</v>
      </c>
      <c r="K54" s="240">
        <f t="shared" si="50"/>
        <v>232</v>
      </c>
      <c r="L54" s="241">
        <f t="shared" si="50"/>
        <v>7931</v>
      </c>
      <c r="M54" s="242">
        <f aca="true" t="shared" si="51" ref="M54:AB54">M9+M10+M14+M20+M21+M24+M25+M26+M28+M29+M30+M31++M32+M33+M36+M37+M38+M39+M47+M48+M49+M50+M51</f>
        <v>987</v>
      </c>
      <c r="N54" s="243">
        <f t="shared" si="51"/>
        <v>865</v>
      </c>
      <c r="O54" s="243">
        <f t="shared" si="51"/>
        <v>307</v>
      </c>
      <c r="P54" s="243">
        <f t="shared" si="51"/>
        <v>92</v>
      </c>
      <c r="Q54" s="243">
        <f t="shared" si="51"/>
        <v>38</v>
      </c>
      <c r="R54" s="243">
        <f t="shared" si="51"/>
        <v>34</v>
      </c>
      <c r="S54" s="244">
        <f t="shared" si="51"/>
        <v>81</v>
      </c>
      <c r="T54" s="245">
        <f t="shared" si="51"/>
        <v>2404</v>
      </c>
      <c r="U54" s="242">
        <f t="shared" si="51"/>
        <v>1741</v>
      </c>
      <c r="V54" s="243">
        <f t="shared" si="51"/>
        <v>1855</v>
      </c>
      <c r="W54" s="243">
        <f t="shared" si="51"/>
        <v>1123</v>
      </c>
      <c r="X54" s="243">
        <f t="shared" si="51"/>
        <v>429</v>
      </c>
      <c r="Y54" s="243">
        <f t="shared" si="51"/>
        <v>156</v>
      </c>
      <c r="Z54" s="243">
        <f t="shared" si="51"/>
        <v>72</v>
      </c>
      <c r="AA54" s="244">
        <f t="shared" si="51"/>
        <v>151</v>
      </c>
      <c r="AB54" s="245">
        <f t="shared" si="51"/>
        <v>5527</v>
      </c>
      <c r="AC54" s="7"/>
      <c r="AD54" s="7">
        <f>IF(T54='性別・年齢別対象者数'!E54,"","ｴﾗｰ")</f>
      </c>
      <c r="AE54" s="7">
        <f>IF(AB54='性別・年齢別対象者数'!F54,"","ｴﾗｰ")</f>
      </c>
      <c r="AF54" s="6">
        <f>IF(L54='性別・年齢別対象者数'!G54,"","ｴﾗｰ")</f>
      </c>
    </row>
    <row r="55" spans="1:32" ht="19.5" customHeight="1" thickBot="1">
      <c r="A55" s="7"/>
      <c r="B55" s="455" t="s">
        <v>40</v>
      </c>
      <c r="C55" s="456"/>
      <c r="D55" s="457"/>
      <c r="E55" s="246">
        <f>SUM(E11,E15,E18,E22,E27,E34,E40,E42,E45,E52)</f>
        <v>19656</v>
      </c>
      <c r="F55" s="247">
        <f aca="true" t="shared" si="52" ref="F55:AB55">SUM(F11,F15,F18,F22,F27,F34,F40,F42,F45,F52)</f>
        <v>18648</v>
      </c>
      <c r="G55" s="247">
        <f t="shared" si="52"/>
        <v>8832</v>
      </c>
      <c r="H55" s="248">
        <f t="shared" si="52"/>
        <v>3370</v>
      </c>
      <c r="I55" s="248">
        <f t="shared" si="52"/>
        <v>1420</v>
      </c>
      <c r="J55" s="248">
        <f t="shared" si="52"/>
        <v>686</v>
      </c>
      <c r="K55" s="249">
        <f t="shared" si="52"/>
        <v>815</v>
      </c>
      <c r="L55" s="250">
        <f t="shared" si="52"/>
        <v>53427</v>
      </c>
      <c r="M55" s="251">
        <f t="shared" si="52"/>
        <v>6074</v>
      </c>
      <c r="N55" s="252">
        <f t="shared" si="52"/>
        <v>5669</v>
      </c>
      <c r="O55" s="252">
        <f t="shared" si="52"/>
        <v>1951</v>
      </c>
      <c r="P55" s="253">
        <f t="shared" si="52"/>
        <v>554</v>
      </c>
      <c r="Q55" s="253">
        <f t="shared" si="52"/>
        <v>315</v>
      </c>
      <c r="R55" s="253">
        <f t="shared" si="52"/>
        <v>202</v>
      </c>
      <c r="S55" s="254">
        <f t="shared" si="52"/>
        <v>332</v>
      </c>
      <c r="T55" s="255">
        <f t="shared" si="52"/>
        <v>15097</v>
      </c>
      <c r="U55" s="251">
        <f t="shared" si="52"/>
        <v>13582</v>
      </c>
      <c r="V55" s="252">
        <f t="shared" si="52"/>
        <v>12979</v>
      </c>
      <c r="W55" s="252">
        <f t="shared" si="52"/>
        <v>6881</v>
      </c>
      <c r="X55" s="253">
        <f t="shared" si="52"/>
        <v>2816</v>
      </c>
      <c r="Y55" s="253">
        <f t="shared" si="52"/>
        <v>1105</v>
      </c>
      <c r="Z55" s="253">
        <f t="shared" si="52"/>
        <v>484</v>
      </c>
      <c r="AA55" s="254">
        <f t="shared" si="52"/>
        <v>483</v>
      </c>
      <c r="AB55" s="255">
        <f t="shared" si="52"/>
        <v>38330</v>
      </c>
      <c r="AC55" s="7"/>
      <c r="AD55" s="7">
        <f>IF(T55='性別・年齢別対象者数'!E55,"","ｴﾗｰ")</f>
      </c>
      <c r="AE55" s="7">
        <f>IF(AB55='性別・年齢別対象者数'!F55,"","ｴﾗｰ")</f>
      </c>
      <c r="AF55" s="6">
        <f>IF(L55='性別・年齢別対象者数'!G55,"","ｴﾗｰ")</f>
      </c>
    </row>
    <row r="56" spans="5:28" ht="10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0.5" customHeight="1"/>
    <row r="58" spans="5:28" ht="10.5" customHeight="1" hidden="1">
      <c r="E58" s="6">
        <f>E53+E54</f>
        <v>19656</v>
      </c>
      <c r="F58" s="6">
        <f aca="true" t="shared" si="53" ref="F58:AB58">F53+F54</f>
        <v>18648</v>
      </c>
      <c r="G58" s="6">
        <f t="shared" si="53"/>
        <v>8832</v>
      </c>
      <c r="H58" s="6">
        <f t="shared" si="53"/>
        <v>3370</v>
      </c>
      <c r="I58" s="6">
        <f t="shared" si="53"/>
        <v>1420</v>
      </c>
      <c r="J58" s="6">
        <f t="shared" si="53"/>
        <v>686</v>
      </c>
      <c r="K58" s="6">
        <f t="shared" si="53"/>
        <v>815</v>
      </c>
      <c r="L58" s="6">
        <f t="shared" si="53"/>
        <v>53427</v>
      </c>
      <c r="M58" s="6">
        <f t="shared" si="53"/>
        <v>6074</v>
      </c>
      <c r="N58" s="6">
        <f t="shared" si="53"/>
        <v>5669</v>
      </c>
      <c r="O58" s="6">
        <f t="shared" si="53"/>
        <v>1951</v>
      </c>
      <c r="P58" s="6">
        <f t="shared" si="53"/>
        <v>554</v>
      </c>
      <c r="Q58" s="6">
        <f t="shared" si="53"/>
        <v>315</v>
      </c>
      <c r="R58" s="6">
        <f t="shared" si="53"/>
        <v>202</v>
      </c>
      <c r="S58" s="6">
        <f t="shared" si="53"/>
        <v>332</v>
      </c>
      <c r="T58" s="6">
        <f t="shared" si="53"/>
        <v>15097</v>
      </c>
      <c r="U58" s="6">
        <f t="shared" si="53"/>
        <v>13582</v>
      </c>
      <c r="V58" s="6">
        <f t="shared" si="53"/>
        <v>12979</v>
      </c>
      <c r="W58" s="6">
        <f t="shared" si="53"/>
        <v>6881</v>
      </c>
      <c r="X58" s="6">
        <f t="shared" si="53"/>
        <v>2816</v>
      </c>
      <c r="Y58" s="6">
        <f t="shared" si="53"/>
        <v>1105</v>
      </c>
      <c r="Z58" s="6">
        <f t="shared" si="53"/>
        <v>484</v>
      </c>
      <c r="AA58" s="6">
        <f t="shared" si="53"/>
        <v>483</v>
      </c>
      <c r="AB58" s="6">
        <f t="shared" si="53"/>
        <v>38330</v>
      </c>
    </row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</sheetData>
  <sheetProtection/>
  <mergeCells count="84">
    <mergeCell ref="E3:L3"/>
    <mergeCell ref="I4:I7"/>
    <mergeCell ref="J4:J7"/>
    <mergeCell ref="K4:K7"/>
    <mergeCell ref="L4:L7"/>
    <mergeCell ref="E4:E7"/>
    <mergeCell ref="F4:F7"/>
    <mergeCell ref="G4:G7"/>
    <mergeCell ref="H4:H7"/>
    <mergeCell ref="N4:N7"/>
    <mergeCell ref="O4:O7"/>
    <mergeCell ref="P4:P7"/>
    <mergeCell ref="Q4:Q7"/>
    <mergeCell ref="R4:R7"/>
    <mergeCell ref="U3:AB3"/>
    <mergeCell ref="AB4:AB7"/>
    <mergeCell ref="U4:U7"/>
    <mergeCell ref="V4:V7"/>
    <mergeCell ref="W4:W7"/>
    <mergeCell ref="C8:D8"/>
    <mergeCell ref="C3:D7"/>
    <mergeCell ref="AA4:AA7"/>
    <mergeCell ref="M3:T3"/>
    <mergeCell ref="S4:S7"/>
    <mergeCell ref="T4:T7"/>
    <mergeCell ref="M4:M7"/>
    <mergeCell ref="X4:X7"/>
    <mergeCell ref="Y4:Y7"/>
    <mergeCell ref="Z4:Z7"/>
    <mergeCell ref="C10:D10"/>
    <mergeCell ref="B43:B45"/>
    <mergeCell ref="B16:B18"/>
    <mergeCell ref="B19:B22"/>
    <mergeCell ref="B23:B27"/>
    <mergeCell ref="B41:B42"/>
    <mergeCell ref="C18:D18"/>
    <mergeCell ref="C19:D19"/>
    <mergeCell ref="C12:D12"/>
    <mergeCell ref="C25:D25"/>
    <mergeCell ref="B46:B52"/>
    <mergeCell ref="C47:D47"/>
    <mergeCell ref="B3:B7"/>
    <mergeCell ref="C11:D11"/>
    <mergeCell ref="C13:D13"/>
    <mergeCell ref="C14:D14"/>
    <mergeCell ref="C15:D15"/>
    <mergeCell ref="B28:B34"/>
    <mergeCell ref="B35:B40"/>
    <mergeCell ref="C9:D9"/>
    <mergeCell ref="C49:D49"/>
    <mergeCell ref="C50:D50"/>
    <mergeCell ref="C51:D51"/>
    <mergeCell ref="C52:D52"/>
    <mergeCell ref="C33:D33"/>
    <mergeCell ref="C41:D41"/>
    <mergeCell ref="C43:D43"/>
    <mergeCell ref="C34:D34"/>
    <mergeCell ref="C35:D35"/>
    <mergeCell ref="C26:D26"/>
    <mergeCell ref="C48:D48"/>
    <mergeCell ref="C30:D30"/>
    <mergeCell ref="C31:D31"/>
    <mergeCell ref="C42:D42"/>
    <mergeCell ref="C32:D32"/>
    <mergeCell ref="B12:B15"/>
    <mergeCell ref="C27:D27"/>
    <mergeCell ref="C28:D28"/>
    <mergeCell ref="C20:D20"/>
    <mergeCell ref="C16:D16"/>
    <mergeCell ref="C17:D17"/>
    <mergeCell ref="C21:D21"/>
    <mergeCell ref="C22:D22"/>
    <mergeCell ref="C23:D23"/>
    <mergeCell ref="C24:D24"/>
    <mergeCell ref="B8:B11"/>
    <mergeCell ref="C44:D44"/>
    <mergeCell ref="C45:D45"/>
    <mergeCell ref="C46:D46"/>
    <mergeCell ref="C36:D36"/>
    <mergeCell ref="C37:D37"/>
    <mergeCell ref="C38:D38"/>
    <mergeCell ref="C39:D39"/>
    <mergeCell ref="C40:D40"/>
    <mergeCell ref="C29:D29"/>
  </mergeCells>
  <printOptions horizontalCentered="1"/>
  <pageMargins left="0.2362204724409449" right="0.2362204724409449" top="0.7480314960629921" bottom="0.7480314960629921" header="0.31496062992125984" footer="0.31496062992125984"/>
  <pageSetup firstPageNumber="3" useFirstPageNumber="1" fitToWidth="0" horizontalDpi="600" verticalDpi="600" orientation="portrait" paperSize="9" scale="69" r:id="rId1"/>
  <headerFooter alignWithMargins="0">
    <oddFooter>&amp;C&amp;"ＭＳ ゴシック,標準"&amp;14&amp;P</oddFooter>
  </headerFooter>
  <rowBreaks count="1" manualBreakCount="1">
    <brk id="55" max="255" man="1"/>
  </rowBreaks>
  <colBreaks count="1" manualBreakCount="1">
    <brk id="12" max="65535" man="1"/>
  </colBreaks>
  <ignoredErrors>
    <ignoredError sqref="C3:AB7 C53:D55 AB48 T47 AB47 C13:D52 C8:D11 B53:B55" unlockedFormula="1"/>
    <ignoredError sqref="E11:AB11 E10:L10 T10 AB10 E48:L48 E47:L47 E50:L50 E49:L49 T49 AB49 E25:L25 E23:L23 T23 AB23 E18:AB18 E17:L17 T17 AB17 E24:L24 T24 AB24 E27:AB27 E26:L26 T26 AB26 E9:L9 T9 AB9 E40:AB40 E37:L37 T37 AB37 T25 AB25 E52:AB54 E51:L51 T51 AB51 E38:L38 AB38 E36:L36 T36 AB36 E39:L39 T39 AB39 E8:L8 T8 AB8 E32:L32 E30:L30 T30 AB30 E22:AB22 E19:L19 T19 AB19 E42:AB42 E41:L41 T41 AB41 E45:AB45 E43:L43 T43 AB43 E46:L46 T46 AB46 T50 AB50 E16:L16 E29:L29 E28:L28 T28 AB28 E13:L13 E35:L35 T35 AB35 E31:L31 T31 AB31 E44:L44 T48 E14:L14 E20:L20 T20 AB20 T29 AB29 E34:AB34 E33:L33 T33 AB33 E21:L21 T21 T32 AB21 AB32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P65"/>
  <sheetViews>
    <sheetView zoomScaleSheetLayoutView="85" workbookViewId="0" topLeftCell="P49">
      <selection activeCell="S77" sqref="S77"/>
    </sheetView>
  </sheetViews>
  <sheetFormatPr defaultColWidth="10.00390625" defaultRowHeight="15" customHeight="1"/>
  <cols>
    <col min="1" max="1" width="0.12890625" style="6" customWidth="1"/>
    <col min="2" max="2" width="9.50390625" style="1" customWidth="1"/>
    <col min="3" max="3" width="3.00390625" style="1" customWidth="1"/>
    <col min="4" max="4" width="11.75390625" style="2" customWidth="1"/>
    <col min="5" max="16" width="9.625" style="6" customWidth="1"/>
    <col min="17" max="27" width="5.125" style="6" customWidth="1"/>
    <col min="28" max="28" width="5.625" style="6" customWidth="1"/>
    <col min="29" max="39" width="5.125" style="6" customWidth="1"/>
    <col min="40" max="40" width="5.625" style="6" customWidth="1"/>
    <col min="41" max="41" width="3.25390625" style="6" customWidth="1"/>
    <col min="42" max="16384" width="10.00390625" style="6" customWidth="1"/>
  </cols>
  <sheetData>
    <row r="1" spans="1:40" ht="18" customHeight="1">
      <c r="A1" s="7"/>
      <c r="C1" s="24"/>
      <c r="D1" s="25"/>
      <c r="E1" s="611" t="s">
        <v>100</v>
      </c>
      <c r="F1" s="26"/>
      <c r="G1" s="26"/>
      <c r="H1" s="26"/>
      <c r="I1" s="26"/>
      <c r="J1" s="102"/>
      <c r="K1" s="103"/>
      <c r="L1" s="103"/>
      <c r="M1" s="103"/>
      <c r="N1" s="103"/>
      <c r="O1" s="103"/>
      <c r="P1" s="103"/>
      <c r="Q1" s="26"/>
      <c r="R1" s="26"/>
      <c r="S1" s="27"/>
      <c r="T1" s="27"/>
      <c r="U1" s="27"/>
      <c r="V1" s="27"/>
      <c r="W1" s="27"/>
      <c r="X1" s="27"/>
      <c r="Y1" s="27"/>
      <c r="Z1" s="27"/>
      <c r="AA1" s="28"/>
      <c r="AB1" s="28"/>
      <c r="AC1" s="30"/>
      <c r="AD1" s="27"/>
      <c r="AE1" s="27"/>
      <c r="AF1" s="3"/>
      <c r="AG1" s="5"/>
      <c r="AH1" s="3"/>
      <c r="AI1" s="3"/>
      <c r="AJ1" s="3"/>
      <c r="AK1" s="3"/>
      <c r="AL1" s="3"/>
      <c r="AM1" s="4"/>
      <c r="AN1" s="4"/>
    </row>
    <row r="2" spans="1:40" ht="13.5" customHeight="1" thickBot="1">
      <c r="A2" s="7"/>
      <c r="B2" s="24"/>
      <c r="C2" s="24"/>
      <c r="D2" s="25"/>
      <c r="E2" s="24"/>
      <c r="F2" s="27"/>
      <c r="G2" s="27"/>
      <c r="H2" s="27"/>
      <c r="I2" s="27"/>
      <c r="J2" s="29"/>
      <c r="K2" s="28"/>
      <c r="L2" s="28"/>
      <c r="M2" s="28"/>
      <c r="N2" s="28"/>
      <c r="O2" s="28" t="s">
        <v>111</v>
      </c>
      <c r="P2" s="28"/>
      <c r="Q2" s="30"/>
      <c r="R2" s="27"/>
      <c r="S2" s="27"/>
      <c r="T2" s="27"/>
      <c r="U2" s="27"/>
      <c r="V2" s="27"/>
      <c r="W2" s="27"/>
      <c r="X2" s="27"/>
      <c r="Y2" s="27"/>
      <c r="Z2" s="27"/>
      <c r="AA2" s="28"/>
      <c r="AB2" s="28"/>
      <c r="AC2" s="30"/>
      <c r="AD2" s="27"/>
      <c r="AE2" s="27"/>
      <c r="AF2" s="3"/>
      <c r="AG2" s="5"/>
      <c r="AH2" s="3"/>
      <c r="AI2" s="3"/>
      <c r="AJ2" s="3"/>
      <c r="AK2" s="3" t="s">
        <v>111</v>
      </c>
      <c r="AL2" s="3"/>
      <c r="AM2" s="4"/>
      <c r="AN2" s="4"/>
    </row>
    <row r="3" spans="1:40" ht="15" customHeight="1" thickBot="1">
      <c r="A3" s="7"/>
      <c r="B3" s="836" t="s">
        <v>95</v>
      </c>
      <c r="C3" s="764" t="s">
        <v>42</v>
      </c>
      <c r="D3" s="765"/>
      <c r="E3" s="785" t="s">
        <v>69</v>
      </c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7"/>
      <c r="Q3" s="773" t="s">
        <v>70</v>
      </c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5"/>
      <c r="AC3" s="773" t="s">
        <v>71</v>
      </c>
      <c r="AD3" s="774"/>
      <c r="AE3" s="774"/>
      <c r="AF3" s="839"/>
      <c r="AG3" s="839"/>
      <c r="AH3" s="839"/>
      <c r="AI3" s="839"/>
      <c r="AJ3" s="839"/>
      <c r="AK3" s="839"/>
      <c r="AL3" s="839"/>
      <c r="AM3" s="839"/>
      <c r="AN3" s="840"/>
    </row>
    <row r="4" spans="1:40" ht="15" customHeight="1">
      <c r="A4" s="7"/>
      <c r="B4" s="837"/>
      <c r="C4" s="766"/>
      <c r="D4" s="767"/>
      <c r="E4" s="104">
        <v>1</v>
      </c>
      <c r="F4" s="32">
        <v>2</v>
      </c>
      <c r="G4" s="32">
        <v>3</v>
      </c>
      <c r="H4" s="32">
        <v>4</v>
      </c>
      <c r="I4" s="32">
        <v>5</v>
      </c>
      <c r="J4" s="32">
        <v>6</v>
      </c>
      <c r="K4" s="32">
        <v>7</v>
      </c>
      <c r="L4" s="32">
        <v>8</v>
      </c>
      <c r="M4" s="32">
        <v>9</v>
      </c>
      <c r="N4" s="32">
        <v>10</v>
      </c>
      <c r="O4" s="32">
        <v>11</v>
      </c>
      <c r="P4" s="35"/>
      <c r="Q4" s="40">
        <v>1</v>
      </c>
      <c r="R4" s="37">
        <v>2</v>
      </c>
      <c r="S4" s="37">
        <v>3</v>
      </c>
      <c r="T4" s="37">
        <v>4</v>
      </c>
      <c r="U4" s="37">
        <v>5</v>
      </c>
      <c r="V4" s="37">
        <v>6</v>
      </c>
      <c r="W4" s="38">
        <v>7</v>
      </c>
      <c r="X4" s="38">
        <v>8</v>
      </c>
      <c r="Y4" s="38">
        <v>9</v>
      </c>
      <c r="Z4" s="38">
        <v>10</v>
      </c>
      <c r="AA4" s="38">
        <v>11</v>
      </c>
      <c r="AB4" s="39"/>
      <c r="AC4" s="40">
        <v>1</v>
      </c>
      <c r="AD4" s="37">
        <v>2</v>
      </c>
      <c r="AE4" s="37">
        <v>3</v>
      </c>
      <c r="AF4" s="20">
        <v>4</v>
      </c>
      <c r="AG4" s="20">
        <v>5</v>
      </c>
      <c r="AH4" s="20">
        <v>6</v>
      </c>
      <c r="AI4" s="21">
        <v>7</v>
      </c>
      <c r="AJ4" s="21">
        <v>8</v>
      </c>
      <c r="AK4" s="21">
        <v>9</v>
      </c>
      <c r="AL4" s="21">
        <v>10</v>
      </c>
      <c r="AM4" s="22">
        <v>11</v>
      </c>
      <c r="AN4" s="23"/>
    </row>
    <row r="5" spans="1:40" ht="15" customHeight="1">
      <c r="A5" s="7"/>
      <c r="B5" s="837"/>
      <c r="C5" s="766"/>
      <c r="D5" s="767"/>
      <c r="E5" s="830" t="s">
        <v>72</v>
      </c>
      <c r="F5" s="832" t="s">
        <v>73</v>
      </c>
      <c r="G5" s="832" t="s">
        <v>74</v>
      </c>
      <c r="H5" s="832" t="s">
        <v>75</v>
      </c>
      <c r="I5" s="832" t="s">
        <v>76</v>
      </c>
      <c r="J5" s="832" t="s">
        <v>77</v>
      </c>
      <c r="K5" s="832" t="s">
        <v>78</v>
      </c>
      <c r="L5" s="832" t="s">
        <v>79</v>
      </c>
      <c r="M5" s="832" t="s">
        <v>80</v>
      </c>
      <c r="N5" s="832" t="s">
        <v>81</v>
      </c>
      <c r="O5" s="834" t="s">
        <v>82</v>
      </c>
      <c r="P5" s="828" t="s">
        <v>53</v>
      </c>
      <c r="Q5" s="830" t="s">
        <v>72</v>
      </c>
      <c r="R5" s="832" t="s">
        <v>73</v>
      </c>
      <c r="S5" s="832" t="s">
        <v>74</v>
      </c>
      <c r="T5" s="832" t="s">
        <v>75</v>
      </c>
      <c r="U5" s="832" t="s">
        <v>76</v>
      </c>
      <c r="V5" s="832" t="s">
        <v>77</v>
      </c>
      <c r="W5" s="832" t="s">
        <v>78</v>
      </c>
      <c r="X5" s="832" t="s">
        <v>79</v>
      </c>
      <c r="Y5" s="832" t="s">
        <v>80</v>
      </c>
      <c r="Z5" s="832" t="s">
        <v>81</v>
      </c>
      <c r="AA5" s="834" t="s">
        <v>82</v>
      </c>
      <c r="AB5" s="828" t="s">
        <v>53</v>
      </c>
      <c r="AC5" s="830" t="s">
        <v>72</v>
      </c>
      <c r="AD5" s="832" t="s">
        <v>73</v>
      </c>
      <c r="AE5" s="832" t="s">
        <v>74</v>
      </c>
      <c r="AF5" s="824" t="s">
        <v>75</v>
      </c>
      <c r="AG5" s="824" t="s">
        <v>76</v>
      </c>
      <c r="AH5" s="824" t="s">
        <v>77</v>
      </c>
      <c r="AI5" s="824" t="s">
        <v>78</v>
      </c>
      <c r="AJ5" s="824" t="s">
        <v>79</v>
      </c>
      <c r="AK5" s="824" t="s">
        <v>80</v>
      </c>
      <c r="AL5" s="824" t="s">
        <v>81</v>
      </c>
      <c r="AM5" s="826" t="s">
        <v>82</v>
      </c>
      <c r="AN5" s="818" t="s">
        <v>53</v>
      </c>
    </row>
    <row r="6" spans="1:40" ht="15" customHeight="1">
      <c r="A6" s="7"/>
      <c r="B6" s="837"/>
      <c r="C6" s="766"/>
      <c r="D6" s="767"/>
      <c r="E6" s="830"/>
      <c r="F6" s="832"/>
      <c r="G6" s="832"/>
      <c r="H6" s="832"/>
      <c r="I6" s="832"/>
      <c r="J6" s="832"/>
      <c r="K6" s="832"/>
      <c r="L6" s="832"/>
      <c r="M6" s="832"/>
      <c r="N6" s="832"/>
      <c r="O6" s="834"/>
      <c r="P6" s="828"/>
      <c r="Q6" s="830"/>
      <c r="R6" s="832"/>
      <c r="S6" s="832"/>
      <c r="T6" s="832"/>
      <c r="U6" s="832"/>
      <c r="V6" s="832"/>
      <c r="W6" s="832"/>
      <c r="X6" s="832"/>
      <c r="Y6" s="832"/>
      <c r="Z6" s="832"/>
      <c r="AA6" s="834"/>
      <c r="AB6" s="828"/>
      <c r="AC6" s="830"/>
      <c r="AD6" s="832"/>
      <c r="AE6" s="832"/>
      <c r="AF6" s="824"/>
      <c r="AG6" s="824"/>
      <c r="AH6" s="824"/>
      <c r="AI6" s="824"/>
      <c r="AJ6" s="824"/>
      <c r="AK6" s="824"/>
      <c r="AL6" s="824"/>
      <c r="AM6" s="826"/>
      <c r="AN6" s="818"/>
    </row>
    <row r="7" spans="1:40" ht="18" customHeight="1">
      <c r="A7" s="7"/>
      <c r="B7" s="837"/>
      <c r="C7" s="766"/>
      <c r="D7" s="767"/>
      <c r="E7" s="830"/>
      <c r="F7" s="832"/>
      <c r="G7" s="832"/>
      <c r="H7" s="832"/>
      <c r="I7" s="832"/>
      <c r="J7" s="832"/>
      <c r="K7" s="832"/>
      <c r="L7" s="832"/>
      <c r="M7" s="832"/>
      <c r="N7" s="832"/>
      <c r="O7" s="834"/>
      <c r="P7" s="828"/>
      <c r="Q7" s="830"/>
      <c r="R7" s="832"/>
      <c r="S7" s="832"/>
      <c r="T7" s="832"/>
      <c r="U7" s="832"/>
      <c r="V7" s="832"/>
      <c r="W7" s="832"/>
      <c r="X7" s="832"/>
      <c r="Y7" s="832"/>
      <c r="Z7" s="832"/>
      <c r="AA7" s="834"/>
      <c r="AB7" s="828"/>
      <c r="AC7" s="830"/>
      <c r="AD7" s="832"/>
      <c r="AE7" s="832"/>
      <c r="AF7" s="824"/>
      <c r="AG7" s="824"/>
      <c r="AH7" s="824"/>
      <c r="AI7" s="824"/>
      <c r="AJ7" s="824"/>
      <c r="AK7" s="824"/>
      <c r="AL7" s="824"/>
      <c r="AM7" s="826"/>
      <c r="AN7" s="818"/>
    </row>
    <row r="8" spans="1:40" ht="130.5" customHeight="1" thickBot="1">
      <c r="A8" s="7"/>
      <c r="B8" s="838"/>
      <c r="C8" s="768"/>
      <c r="D8" s="769"/>
      <c r="E8" s="831"/>
      <c r="F8" s="833"/>
      <c r="G8" s="833"/>
      <c r="H8" s="833"/>
      <c r="I8" s="833"/>
      <c r="J8" s="833"/>
      <c r="K8" s="833"/>
      <c r="L8" s="833"/>
      <c r="M8" s="833"/>
      <c r="N8" s="833"/>
      <c r="O8" s="835"/>
      <c r="P8" s="829"/>
      <c r="Q8" s="831"/>
      <c r="R8" s="833"/>
      <c r="S8" s="833"/>
      <c r="T8" s="833"/>
      <c r="U8" s="833"/>
      <c r="V8" s="833"/>
      <c r="W8" s="833"/>
      <c r="X8" s="833"/>
      <c r="Y8" s="833"/>
      <c r="Z8" s="833"/>
      <c r="AA8" s="835"/>
      <c r="AB8" s="829"/>
      <c r="AC8" s="831"/>
      <c r="AD8" s="833"/>
      <c r="AE8" s="833"/>
      <c r="AF8" s="825"/>
      <c r="AG8" s="825"/>
      <c r="AH8" s="825"/>
      <c r="AI8" s="825"/>
      <c r="AJ8" s="825"/>
      <c r="AK8" s="825"/>
      <c r="AL8" s="825"/>
      <c r="AM8" s="827"/>
      <c r="AN8" s="819"/>
    </row>
    <row r="9" spans="1:42" s="8" customFormat="1" ht="22.5" customHeight="1">
      <c r="A9" s="9"/>
      <c r="B9" s="624" t="s">
        <v>44</v>
      </c>
      <c r="C9" s="814" t="s">
        <v>10</v>
      </c>
      <c r="D9" s="815"/>
      <c r="E9" s="107">
        <f aca="true" t="shared" si="0" ref="E9:K11">Q9+AC9</f>
        <v>560</v>
      </c>
      <c r="F9" s="52">
        <f t="shared" si="0"/>
        <v>542</v>
      </c>
      <c r="G9" s="52">
        <f t="shared" si="0"/>
        <v>220</v>
      </c>
      <c r="H9" s="54">
        <f t="shared" si="0"/>
        <v>363</v>
      </c>
      <c r="I9" s="54">
        <f t="shared" si="0"/>
        <v>221</v>
      </c>
      <c r="J9" s="54">
        <f t="shared" si="0"/>
        <v>93</v>
      </c>
      <c r="K9" s="54">
        <f t="shared" si="0"/>
        <v>53</v>
      </c>
      <c r="L9" s="54">
        <f aca="true" t="shared" si="1" ref="L9:L24">X9+AJ9</f>
        <v>32</v>
      </c>
      <c r="M9" s="54">
        <f aca="true" t="shared" si="2" ref="M9:O11">Y9+AK9</f>
        <v>1141</v>
      </c>
      <c r="N9" s="54">
        <f t="shared" si="2"/>
        <v>54</v>
      </c>
      <c r="O9" s="54">
        <f t="shared" si="2"/>
        <v>179</v>
      </c>
      <c r="P9" s="480">
        <f aca="true" t="shared" si="3" ref="P9:P53">SUM(E9:O9)</f>
        <v>3458</v>
      </c>
      <c r="Q9" s="380">
        <v>140</v>
      </c>
      <c r="R9" s="381">
        <v>149</v>
      </c>
      <c r="S9" s="381">
        <v>44</v>
      </c>
      <c r="T9" s="382">
        <v>78</v>
      </c>
      <c r="U9" s="382">
        <v>33</v>
      </c>
      <c r="V9" s="382">
        <v>23</v>
      </c>
      <c r="W9" s="383">
        <v>19</v>
      </c>
      <c r="X9" s="383">
        <v>9</v>
      </c>
      <c r="Y9" s="383">
        <v>337</v>
      </c>
      <c r="Z9" s="383">
        <v>15</v>
      </c>
      <c r="AA9" s="383">
        <v>71</v>
      </c>
      <c r="AB9" s="271">
        <f aca="true" t="shared" si="4" ref="AB9:AB50">SUM(Q9:AA9)</f>
        <v>918</v>
      </c>
      <c r="AC9" s="380">
        <v>420</v>
      </c>
      <c r="AD9" s="381">
        <v>393</v>
      </c>
      <c r="AE9" s="381">
        <v>176</v>
      </c>
      <c r="AF9" s="382">
        <v>285</v>
      </c>
      <c r="AG9" s="382">
        <v>188</v>
      </c>
      <c r="AH9" s="382">
        <v>70</v>
      </c>
      <c r="AI9" s="382">
        <v>34</v>
      </c>
      <c r="AJ9" s="382">
        <v>23</v>
      </c>
      <c r="AK9" s="382">
        <v>804</v>
      </c>
      <c r="AL9" s="382">
        <v>39</v>
      </c>
      <c r="AM9" s="392">
        <v>108</v>
      </c>
      <c r="AN9" s="264">
        <f aca="true" t="shared" si="5" ref="AN9:AN18">SUM(AC9:AM9)</f>
        <v>2540</v>
      </c>
      <c r="AO9" s="9"/>
      <c r="AP9" s="8">
        <f aca="true" t="shared" si="6" ref="AP9:AP56">IF(AB9+AN9=P9,"","ｴﾗｰ")</f>
      </c>
    </row>
    <row r="10" spans="2:42" s="9" customFormat="1" ht="22.5" customHeight="1">
      <c r="B10" s="625"/>
      <c r="C10" s="820" t="s">
        <v>11</v>
      </c>
      <c r="D10" s="821"/>
      <c r="E10" s="109">
        <f t="shared" si="0"/>
        <v>102</v>
      </c>
      <c r="F10" s="59">
        <f t="shared" si="0"/>
        <v>101</v>
      </c>
      <c r="G10" s="59">
        <f t="shared" si="0"/>
        <v>47</v>
      </c>
      <c r="H10" s="61">
        <f t="shared" si="0"/>
        <v>58</v>
      </c>
      <c r="I10" s="61">
        <f t="shared" si="0"/>
        <v>51</v>
      </c>
      <c r="J10" s="61">
        <f t="shared" si="0"/>
        <v>35</v>
      </c>
      <c r="K10" s="61">
        <f t="shared" si="0"/>
        <v>14</v>
      </c>
      <c r="L10" s="61">
        <f t="shared" si="1"/>
        <v>2</v>
      </c>
      <c r="M10" s="61">
        <f t="shared" si="2"/>
        <v>70</v>
      </c>
      <c r="N10" s="61">
        <f t="shared" si="2"/>
        <v>3</v>
      </c>
      <c r="O10" s="61">
        <f t="shared" si="2"/>
        <v>13</v>
      </c>
      <c r="P10" s="108">
        <f t="shared" si="3"/>
        <v>496</v>
      </c>
      <c r="Q10" s="384">
        <v>28</v>
      </c>
      <c r="R10" s="385">
        <v>31</v>
      </c>
      <c r="S10" s="385">
        <v>9</v>
      </c>
      <c r="T10" s="386">
        <v>11</v>
      </c>
      <c r="U10" s="386">
        <v>9</v>
      </c>
      <c r="V10" s="386">
        <v>10</v>
      </c>
      <c r="W10" s="387">
        <v>4</v>
      </c>
      <c r="X10" s="387">
        <v>1</v>
      </c>
      <c r="Y10" s="387">
        <v>20</v>
      </c>
      <c r="Z10" s="387">
        <v>2</v>
      </c>
      <c r="AA10" s="387">
        <v>5</v>
      </c>
      <c r="AB10" s="273">
        <f t="shared" si="4"/>
        <v>130</v>
      </c>
      <c r="AC10" s="384">
        <v>74</v>
      </c>
      <c r="AD10" s="385">
        <v>70</v>
      </c>
      <c r="AE10" s="385">
        <v>38</v>
      </c>
      <c r="AF10" s="386">
        <v>47</v>
      </c>
      <c r="AG10" s="386">
        <v>42</v>
      </c>
      <c r="AH10" s="386">
        <v>25</v>
      </c>
      <c r="AI10" s="386">
        <v>10</v>
      </c>
      <c r="AJ10" s="386">
        <v>1</v>
      </c>
      <c r="AK10" s="386">
        <v>50</v>
      </c>
      <c r="AL10" s="386">
        <v>1</v>
      </c>
      <c r="AM10" s="393">
        <v>8</v>
      </c>
      <c r="AN10" s="264">
        <f t="shared" si="5"/>
        <v>366</v>
      </c>
      <c r="AO10" s="8"/>
      <c r="AP10" s="8">
        <f t="shared" si="6"/>
      </c>
    </row>
    <row r="11" spans="1:42" s="8" customFormat="1" ht="22.5" customHeight="1" thickBot="1">
      <c r="A11" s="9"/>
      <c r="B11" s="625"/>
      <c r="C11" s="822" t="s">
        <v>12</v>
      </c>
      <c r="D11" s="823"/>
      <c r="E11" s="110">
        <f t="shared" si="0"/>
        <v>96</v>
      </c>
      <c r="F11" s="64">
        <f t="shared" si="0"/>
        <v>84</v>
      </c>
      <c r="G11" s="64">
        <f t="shared" si="0"/>
        <v>34</v>
      </c>
      <c r="H11" s="55">
        <f t="shared" si="0"/>
        <v>71</v>
      </c>
      <c r="I11" s="55">
        <f t="shared" si="0"/>
        <v>51</v>
      </c>
      <c r="J11" s="55">
        <f t="shared" si="0"/>
        <v>16</v>
      </c>
      <c r="K11" s="55">
        <f t="shared" si="0"/>
        <v>13</v>
      </c>
      <c r="L11" s="55">
        <f t="shared" si="1"/>
        <v>6</v>
      </c>
      <c r="M11" s="55">
        <f t="shared" si="2"/>
        <v>129</v>
      </c>
      <c r="N11" s="55">
        <f t="shared" si="2"/>
        <v>4</v>
      </c>
      <c r="O11" s="55">
        <f t="shared" si="2"/>
        <v>26</v>
      </c>
      <c r="P11" s="111">
        <f t="shared" si="3"/>
        <v>530</v>
      </c>
      <c r="Q11" s="388">
        <v>25</v>
      </c>
      <c r="R11" s="389">
        <v>25</v>
      </c>
      <c r="S11" s="389">
        <v>4</v>
      </c>
      <c r="T11" s="390">
        <v>16</v>
      </c>
      <c r="U11" s="390">
        <v>5</v>
      </c>
      <c r="V11" s="390">
        <v>6</v>
      </c>
      <c r="W11" s="391">
        <v>8</v>
      </c>
      <c r="X11" s="391">
        <v>3</v>
      </c>
      <c r="Y11" s="391">
        <v>45</v>
      </c>
      <c r="Z11" s="391">
        <v>1</v>
      </c>
      <c r="AA11" s="391">
        <v>12</v>
      </c>
      <c r="AB11" s="274">
        <f t="shared" si="4"/>
        <v>150</v>
      </c>
      <c r="AC11" s="388">
        <v>71</v>
      </c>
      <c r="AD11" s="389">
        <v>59</v>
      </c>
      <c r="AE11" s="389">
        <v>30</v>
      </c>
      <c r="AF11" s="390">
        <v>55</v>
      </c>
      <c r="AG11" s="390">
        <v>46</v>
      </c>
      <c r="AH11" s="390">
        <v>10</v>
      </c>
      <c r="AI11" s="390">
        <v>5</v>
      </c>
      <c r="AJ11" s="390">
        <v>3</v>
      </c>
      <c r="AK11" s="390">
        <v>84</v>
      </c>
      <c r="AL11" s="390">
        <v>3</v>
      </c>
      <c r="AM11" s="394">
        <v>14</v>
      </c>
      <c r="AN11" s="275">
        <f t="shared" si="5"/>
        <v>380</v>
      </c>
      <c r="AO11" s="9"/>
      <c r="AP11" s="8">
        <f t="shared" si="6"/>
      </c>
    </row>
    <row r="12" spans="2:42" s="9" customFormat="1" ht="22.5" customHeight="1" thickBot="1" thickTop="1">
      <c r="B12" s="626"/>
      <c r="C12" s="812" t="s">
        <v>7</v>
      </c>
      <c r="D12" s="813"/>
      <c r="E12" s="106">
        <f aca="true" t="shared" si="7" ref="E12:K12">SUM(E9:E11)</f>
        <v>758</v>
      </c>
      <c r="F12" s="48">
        <f t="shared" si="7"/>
        <v>727</v>
      </c>
      <c r="G12" s="48">
        <f t="shared" si="7"/>
        <v>301</v>
      </c>
      <c r="H12" s="50">
        <f t="shared" si="7"/>
        <v>492</v>
      </c>
      <c r="I12" s="50">
        <f t="shared" si="7"/>
        <v>323</v>
      </c>
      <c r="J12" s="50">
        <f t="shared" si="7"/>
        <v>144</v>
      </c>
      <c r="K12" s="50">
        <f t="shared" si="7"/>
        <v>80</v>
      </c>
      <c r="L12" s="50">
        <f t="shared" si="1"/>
        <v>40</v>
      </c>
      <c r="M12" s="50">
        <f>SUM(M9:M11)</f>
        <v>1340</v>
      </c>
      <c r="N12" s="50">
        <f>SUM(N9:N11)</f>
        <v>61</v>
      </c>
      <c r="O12" s="51">
        <f>SUM(O9:O11)</f>
        <v>218</v>
      </c>
      <c r="P12" s="57">
        <f t="shared" si="3"/>
        <v>4484</v>
      </c>
      <c r="Q12" s="265">
        <f aca="true" t="shared" si="8" ref="Q12:V12">SUM(Q9:Q11)</f>
        <v>193</v>
      </c>
      <c r="R12" s="266">
        <f t="shared" si="8"/>
        <v>205</v>
      </c>
      <c r="S12" s="266">
        <f t="shared" si="8"/>
        <v>57</v>
      </c>
      <c r="T12" s="267">
        <f t="shared" si="8"/>
        <v>105</v>
      </c>
      <c r="U12" s="267">
        <f t="shared" si="8"/>
        <v>47</v>
      </c>
      <c r="V12" s="267">
        <f t="shared" si="8"/>
        <v>39</v>
      </c>
      <c r="W12" s="267">
        <f>SUM(W9:W11)</f>
        <v>31</v>
      </c>
      <c r="X12" s="267">
        <f>SUM(X9:X11)</f>
        <v>13</v>
      </c>
      <c r="Y12" s="267">
        <f>SUM(Y9:Y11)</f>
        <v>402</v>
      </c>
      <c r="Z12" s="267">
        <f>SUM(Z9:Z11)</f>
        <v>18</v>
      </c>
      <c r="AA12" s="267">
        <f>SUM(AA9:AA11)</f>
        <v>88</v>
      </c>
      <c r="AB12" s="269">
        <f t="shared" si="4"/>
        <v>1198</v>
      </c>
      <c r="AC12" s="265">
        <f aca="true" t="shared" si="9" ref="AC12:AM12">SUM(AC9:AC11)</f>
        <v>565</v>
      </c>
      <c r="AD12" s="266">
        <f t="shared" si="9"/>
        <v>522</v>
      </c>
      <c r="AE12" s="266">
        <f t="shared" si="9"/>
        <v>244</v>
      </c>
      <c r="AF12" s="267">
        <f t="shared" si="9"/>
        <v>387</v>
      </c>
      <c r="AG12" s="267">
        <f t="shared" si="9"/>
        <v>276</v>
      </c>
      <c r="AH12" s="267">
        <f t="shared" si="9"/>
        <v>105</v>
      </c>
      <c r="AI12" s="267">
        <f t="shared" si="9"/>
        <v>49</v>
      </c>
      <c r="AJ12" s="267">
        <f t="shared" si="9"/>
        <v>27</v>
      </c>
      <c r="AK12" s="267">
        <f t="shared" si="9"/>
        <v>938</v>
      </c>
      <c r="AL12" s="267">
        <f t="shared" si="9"/>
        <v>43</v>
      </c>
      <c r="AM12" s="267">
        <f t="shared" si="9"/>
        <v>130</v>
      </c>
      <c r="AN12" s="270">
        <f t="shared" si="5"/>
        <v>3286</v>
      </c>
      <c r="AO12" s="8"/>
      <c r="AP12" s="8">
        <f t="shared" si="6"/>
      </c>
    </row>
    <row r="13" spans="1:42" s="8" customFormat="1" ht="22.5" customHeight="1">
      <c r="A13" s="9"/>
      <c r="B13" s="624" t="s">
        <v>47</v>
      </c>
      <c r="C13" s="800" t="s">
        <v>6</v>
      </c>
      <c r="D13" s="801"/>
      <c r="E13" s="105">
        <f aca="true" t="shared" si="10" ref="E13:O13">Q13+AC13</f>
        <v>2582</v>
      </c>
      <c r="F13" s="42">
        <f t="shared" si="10"/>
        <v>2345</v>
      </c>
      <c r="G13" s="42">
        <f t="shared" si="10"/>
        <v>670</v>
      </c>
      <c r="H13" s="44">
        <f t="shared" si="10"/>
        <v>1627</v>
      </c>
      <c r="I13" s="44">
        <f t="shared" si="10"/>
        <v>1258</v>
      </c>
      <c r="J13" s="44">
        <f t="shared" si="10"/>
        <v>337</v>
      </c>
      <c r="K13" s="44">
        <f t="shared" si="10"/>
        <v>206</v>
      </c>
      <c r="L13" s="44">
        <f t="shared" si="10"/>
        <v>113</v>
      </c>
      <c r="M13" s="44">
        <f t="shared" si="10"/>
        <v>4056</v>
      </c>
      <c r="N13" s="44">
        <f t="shared" si="10"/>
        <v>82</v>
      </c>
      <c r="O13" s="46">
        <f t="shared" si="10"/>
        <v>224</v>
      </c>
      <c r="P13" s="67">
        <f>SUM(E13:O13)</f>
        <v>13500</v>
      </c>
      <c r="Q13" s="375">
        <v>673</v>
      </c>
      <c r="R13" s="376">
        <v>596</v>
      </c>
      <c r="S13" s="376">
        <v>115</v>
      </c>
      <c r="T13" s="377">
        <v>258</v>
      </c>
      <c r="U13" s="377">
        <v>179</v>
      </c>
      <c r="V13" s="377">
        <v>109</v>
      </c>
      <c r="W13" s="378">
        <v>66</v>
      </c>
      <c r="X13" s="378">
        <v>35</v>
      </c>
      <c r="Y13" s="378">
        <v>1149</v>
      </c>
      <c r="Z13" s="378">
        <v>24</v>
      </c>
      <c r="AA13" s="378">
        <v>68</v>
      </c>
      <c r="AB13" s="263">
        <f>SUM(Q13:AA13)</f>
        <v>3272</v>
      </c>
      <c r="AC13" s="375">
        <v>1909</v>
      </c>
      <c r="AD13" s="376">
        <v>1749</v>
      </c>
      <c r="AE13" s="376">
        <v>555</v>
      </c>
      <c r="AF13" s="377">
        <v>1369</v>
      </c>
      <c r="AG13" s="377">
        <v>1079</v>
      </c>
      <c r="AH13" s="377">
        <v>228</v>
      </c>
      <c r="AI13" s="377">
        <v>140</v>
      </c>
      <c r="AJ13" s="377">
        <v>78</v>
      </c>
      <c r="AK13" s="377">
        <v>2907</v>
      </c>
      <c r="AL13" s="377">
        <v>58</v>
      </c>
      <c r="AM13" s="379">
        <v>156</v>
      </c>
      <c r="AN13" s="481">
        <f>SUM(AC13:AM13)</f>
        <v>10228</v>
      </c>
      <c r="AP13" s="8">
        <f>IF(AB13+AN13=P13,"","ｴﾗｰ")</f>
      </c>
    </row>
    <row r="14" spans="1:42" s="8" customFormat="1" ht="22.5" customHeight="1">
      <c r="A14" s="9"/>
      <c r="B14" s="625"/>
      <c r="C14" s="814" t="s">
        <v>28</v>
      </c>
      <c r="D14" s="815"/>
      <c r="E14" s="107">
        <f>Q14+AC14</f>
        <v>1511</v>
      </c>
      <c r="F14" s="52">
        <f aca="true" t="shared" si="11" ref="E14:K15">R14+AD14</f>
        <v>1435</v>
      </c>
      <c r="G14" s="52">
        <f t="shared" si="11"/>
        <v>466</v>
      </c>
      <c r="H14" s="54">
        <f t="shared" si="11"/>
        <v>921</v>
      </c>
      <c r="I14" s="54">
        <f t="shared" si="11"/>
        <v>679</v>
      </c>
      <c r="J14" s="54">
        <f t="shared" si="11"/>
        <v>243</v>
      </c>
      <c r="K14" s="54">
        <f t="shared" si="11"/>
        <v>129</v>
      </c>
      <c r="L14" s="54">
        <f t="shared" si="1"/>
        <v>75</v>
      </c>
      <c r="M14" s="54">
        <f aca="true" t="shared" si="12" ref="M14:O15">Y14+AK14</f>
        <v>1926</v>
      </c>
      <c r="N14" s="54">
        <f t="shared" si="12"/>
        <v>59</v>
      </c>
      <c r="O14" s="113">
        <f t="shared" si="12"/>
        <v>79</v>
      </c>
      <c r="P14" s="57">
        <f t="shared" si="3"/>
        <v>7523</v>
      </c>
      <c r="Q14" s="380">
        <v>444</v>
      </c>
      <c r="R14" s="381">
        <v>451</v>
      </c>
      <c r="S14" s="381">
        <v>92</v>
      </c>
      <c r="T14" s="382">
        <v>180</v>
      </c>
      <c r="U14" s="382">
        <v>120</v>
      </c>
      <c r="V14" s="382">
        <v>89</v>
      </c>
      <c r="W14" s="383">
        <v>59</v>
      </c>
      <c r="X14" s="383">
        <v>30</v>
      </c>
      <c r="Y14" s="383">
        <v>623</v>
      </c>
      <c r="Z14" s="383">
        <v>19</v>
      </c>
      <c r="AA14" s="383">
        <v>23</v>
      </c>
      <c r="AB14" s="271">
        <f t="shared" si="4"/>
        <v>2130</v>
      </c>
      <c r="AC14" s="380">
        <v>1067</v>
      </c>
      <c r="AD14" s="381">
        <v>984</v>
      </c>
      <c r="AE14" s="381">
        <v>374</v>
      </c>
      <c r="AF14" s="382">
        <v>741</v>
      </c>
      <c r="AG14" s="382">
        <v>559</v>
      </c>
      <c r="AH14" s="382">
        <v>154</v>
      </c>
      <c r="AI14" s="382">
        <v>70</v>
      </c>
      <c r="AJ14" s="382">
        <v>45</v>
      </c>
      <c r="AK14" s="382">
        <v>1303</v>
      </c>
      <c r="AL14" s="382">
        <v>40</v>
      </c>
      <c r="AM14" s="392">
        <v>56</v>
      </c>
      <c r="AN14" s="264">
        <f t="shared" si="5"/>
        <v>5393</v>
      </c>
      <c r="AP14" s="8">
        <f t="shared" si="6"/>
      </c>
    </row>
    <row r="15" spans="1:42" s="8" customFormat="1" ht="22.5" customHeight="1" thickBot="1">
      <c r="A15" s="9"/>
      <c r="B15" s="625"/>
      <c r="C15" s="804" t="s">
        <v>29</v>
      </c>
      <c r="D15" s="805"/>
      <c r="E15" s="112">
        <f t="shared" si="11"/>
        <v>209</v>
      </c>
      <c r="F15" s="69">
        <f t="shared" si="11"/>
        <v>189</v>
      </c>
      <c r="G15" s="69">
        <f t="shared" si="11"/>
        <v>82</v>
      </c>
      <c r="H15" s="69">
        <f t="shared" si="11"/>
        <v>147</v>
      </c>
      <c r="I15" s="69">
        <f t="shared" si="11"/>
        <v>107</v>
      </c>
      <c r="J15" s="69">
        <f t="shared" si="11"/>
        <v>39</v>
      </c>
      <c r="K15" s="69">
        <f t="shared" si="11"/>
        <v>29</v>
      </c>
      <c r="L15" s="69">
        <f t="shared" si="1"/>
        <v>13</v>
      </c>
      <c r="M15" s="69">
        <f t="shared" si="12"/>
        <v>204</v>
      </c>
      <c r="N15" s="69">
        <f t="shared" si="12"/>
        <v>10</v>
      </c>
      <c r="O15" s="83">
        <f t="shared" si="12"/>
        <v>12</v>
      </c>
      <c r="P15" s="66">
        <f t="shared" si="3"/>
        <v>1041</v>
      </c>
      <c r="Q15" s="395">
        <v>57</v>
      </c>
      <c r="R15" s="396">
        <v>52</v>
      </c>
      <c r="S15" s="396">
        <v>13</v>
      </c>
      <c r="T15" s="396">
        <v>21</v>
      </c>
      <c r="U15" s="396">
        <v>13</v>
      </c>
      <c r="V15" s="396">
        <v>10</v>
      </c>
      <c r="W15" s="396">
        <v>12</v>
      </c>
      <c r="X15" s="396">
        <v>7</v>
      </c>
      <c r="Y15" s="396">
        <v>65</v>
      </c>
      <c r="Z15" s="396">
        <v>4</v>
      </c>
      <c r="AA15" s="396">
        <v>9</v>
      </c>
      <c r="AB15" s="276">
        <f t="shared" si="4"/>
        <v>263</v>
      </c>
      <c r="AC15" s="395">
        <v>152</v>
      </c>
      <c r="AD15" s="396">
        <v>137</v>
      </c>
      <c r="AE15" s="396">
        <v>69</v>
      </c>
      <c r="AF15" s="396">
        <v>126</v>
      </c>
      <c r="AG15" s="396">
        <v>94</v>
      </c>
      <c r="AH15" s="396">
        <v>29</v>
      </c>
      <c r="AI15" s="397">
        <v>17</v>
      </c>
      <c r="AJ15" s="397">
        <v>6</v>
      </c>
      <c r="AK15" s="397">
        <v>139</v>
      </c>
      <c r="AL15" s="397">
        <v>6</v>
      </c>
      <c r="AM15" s="396">
        <v>3</v>
      </c>
      <c r="AN15" s="277">
        <f t="shared" si="5"/>
        <v>778</v>
      </c>
      <c r="AP15" s="8">
        <f t="shared" si="6"/>
      </c>
    </row>
    <row r="16" spans="1:42" s="8" customFormat="1" ht="22.5" customHeight="1" thickBot="1" thickTop="1">
      <c r="A16" s="9"/>
      <c r="B16" s="626"/>
      <c r="C16" s="812" t="s">
        <v>7</v>
      </c>
      <c r="D16" s="813"/>
      <c r="E16" s="106">
        <f>SUM(E13:E15)</f>
        <v>4302</v>
      </c>
      <c r="F16" s="48">
        <f aca="true" t="shared" si="13" ref="F16:AN16">SUM(F13:F15)</f>
        <v>3969</v>
      </c>
      <c r="G16" s="48">
        <f t="shared" si="13"/>
        <v>1218</v>
      </c>
      <c r="H16" s="50">
        <f t="shared" si="13"/>
        <v>2695</v>
      </c>
      <c r="I16" s="50">
        <f t="shared" si="13"/>
        <v>2044</v>
      </c>
      <c r="J16" s="50">
        <f t="shared" si="13"/>
        <v>619</v>
      </c>
      <c r="K16" s="50">
        <f t="shared" si="13"/>
        <v>364</v>
      </c>
      <c r="L16" s="50">
        <f t="shared" si="13"/>
        <v>201</v>
      </c>
      <c r="M16" s="50">
        <f t="shared" si="13"/>
        <v>6186</v>
      </c>
      <c r="N16" s="50">
        <f t="shared" si="13"/>
        <v>151</v>
      </c>
      <c r="O16" s="51">
        <f t="shared" si="13"/>
        <v>315</v>
      </c>
      <c r="P16" s="57">
        <f t="shared" si="13"/>
        <v>22064</v>
      </c>
      <c r="Q16" s="265">
        <f t="shared" si="13"/>
        <v>1174</v>
      </c>
      <c r="R16" s="266">
        <f t="shared" si="13"/>
        <v>1099</v>
      </c>
      <c r="S16" s="266">
        <f t="shared" si="13"/>
        <v>220</v>
      </c>
      <c r="T16" s="267">
        <f t="shared" si="13"/>
        <v>459</v>
      </c>
      <c r="U16" s="267">
        <f t="shared" si="13"/>
        <v>312</v>
      </c>
      <c r="V16" s="267">
        <f t="shared" si="13"/>
        <v>208</v>
      </c>
      <c r="W16" s="267">
        <f t="shared" si="13"/>
        <v>137</v>
      </c>
      <c r="X16" s="267">
        <f t="shared" si="13"/>
        <v>72</v>
      </c>
      <c r="Y16" s="267">
        <f t="shared" si="13"/>
        <v>1837</v>
      </c>
      <c r="Z16" s="267">
        <f t="shared" si="13"/>
        <v>47</v>
      </c>
      <c r="AA16" s="267">
        <f t="shared" si="13"/>
        <v>100</v>
      </c>
      <c r="AB16" s="269">
        <f t="shared" si="13"/>
        <v>5665</v>
      </c>
      <c r="AC16" s="265">
        <f t="shared" si="13"/>
        <v>3128</v>
      </c>
      <c r="AD16" s="266">
        <f t="shared" si="13"/>
        <v>2870</v>
      </c>
      <c r="AE16" s="266">
        <f t="shared" si="13"/>
        <v>998</v>
      </c>
      <c r="AF16" s="267">
        <f t="shared" si="13"/>
        <v>2236</v>
      </c>
      <c r="AG16" s="267">
        <f t="shared" si="13"/>
        <v>1732</v>
      </c>
      <c r="AH16" s="267">
        <f t="shared" si="13"/>
        <v>411</v>
      </c>
      <c r="AI16" s="267">
        <f t="shared" si="13"/>
        <v>227</v>
      </c>
      <c r="AJ16" s="267">
        <f t="shared" si="13"/>
        <v>129</v>
      </c>
      <c r="AK16" s="267">
        <f t="shared" si="13"/>
        <v>4349</v>
      </c>
      <c r="AL16" s="267">
        <f t="shared" si="13"/>
        <v>104</v>
      </c>
      <c r="AM16" s="267">
        <f t="shared" si="13"/>
        <v>215</v>
      </c>
      <c r="AN16" s="270">
        <f t="shared" si="13"/>
        <v>16399</v>
      </c>
      <c r="AP16" s="8">
        <f t="shared" si="6"/>
      </c>
    </row>
    <row r="17" spans="1:42" s="8" customFormat="1" ht="22.5" customHeight="1">
      <c r="A17" s="9"/>
      <c r="B17" s="646" t="s">
        <v>43</v>
      </c>
      <c r="C17" s="816" t="s">
        <v>8</v>
      </c>
      <c r="D17" s="817"/>
      <c r="E17" s="109">
        <f aca="true" t="shared" si="14" ref="E17:K18">Q17+AC17</f>
        <v>2767</v>
      </c>
      <c r="F17" s="59">
        <f t="shared" si="14"/>
        <v>2174</v>
      </c>
      <c r="G17" s="59">
        <f t="shared" si="14"/>
        <v>660</v>
      </c>
      <c r="H17" s="61">
        <f t="shared" si="14"/>
        <v>1520</v>
      </c>
      <c r="I17" s="61">
        <f t="shared" si="14"/>
        <v>917</v>
      </c>
      <c r="J17" s="61">
        <f t="shared" si="14"/>
        <v>353</v>
      </c>
      <c r="K17" s="61">
        <f t="shared" si="14"/>
        <v>237</v>
      </c>
      <c r="L17" s="61">
        <f t="shared" si="1"/>
        <v>106</v>
      </c>
      <c r="M17" s="61">
        <f aca="true" t="shared" si="15" ref="M17:O18">Y17+AK17</f>
        <v>5337</v>
      </c>
      <c r="N17" s="61">
        <f t="shared" si="15"/>
        <v>218</v>
      </c>
      <c r="O17" s="73">
        <f t="shared" si="15"/>
        <v>45</v>
      </c>
      <c r="P17" s="67">
        <f t="shared" si="3"/>
        <v>14334</v>
      </c>
      <c r="Q17" s="398">
        <v>757</v>
      </c>
      <c r="R17" s="399">
        <v>582</v>
      </c>
      <c r="S17" s="399">
        <v>118</v>
      </c>
      <c r="T17" s="399">
        <v>276</v>
      </c>
      <c r="U17" s="399">
        <v>121</v>
      </c>
      <c r="V17" s="399">
        <v>119</v>
      </c>
      <c r="W17" s="376">
        <v>106</v>
      </c>
      <c r="X17" s="376">
        <v>36</v>
      </c>
      <c r="Y17" s="376">
        <v>1557</v>
      </c>
      <c r="Z17" s="376">
        <v>65</v>
      </c>
      <c r="AA17" s="400">
        <v>17</v>
      </c>
      <c r="AB17" s="271">
        <f t="shared" si="4"/>
        <v>3754</v>
      </c>
      <c r="AC17" s="398">
        <v>2010</v>
      </c>
      <c r="AD17" s="399">
        <v>1592</v>
      </c>
      <c r="AE17" s="399">
        <v>542</v>
      </c>
      <c r="AF17" s="399">
        <v>1244</v>
      </c>
      <c r="AG17" s="399">
        <v>796</v>
      </c>
      <c r="AH17" s="399">
        <v>234</v>
      </c>
      <c r="AI17" s="397">
        <v>131</v>
      </c>
      <c r="AJ17" s="397">
        <v>70</v>
      </c>
      <c r="AK17" s="397">
        <v>3780</v>
      </c>
      <c r="AL17" s="397">
        <v>153</v>
      </c>
      <c r="AM17" s="404">
        <v>28</v>
      </c>
      <c r="AN17" s="264">
        <f t="shared" si="5"/>
        <v>10580</v>
      </c>
      <c r="AP17" s="8">
        <f t="shared" si="6"/>
      </c>
    </row>
    <row r="18" spans="1:42" s="8" customFormat="1" ht="22.5" customHeight="1" thickBot="1">
      <c r="A18" s="9"/>
      <c r="B18" s="647"/>
      <c r="C18" s="810" t="s">
        <v>9</v>
      </c>
      <c r="D18" s="811"/>
      <c r="E18" s="109">
        <f t="shared" si="14"/>
        <v>671</v>
      </c>
      <c r="F18" s="59">
        <f t="shared" si="14"/>
        <v>589</v>
      </c>
      <c r="G18" s="59">
        <f t="shared" si="14"/>
        <v>204</v>
      </c>
      <c r="H18" s="61">
        <f t="shared" si="14"/>
        <v>340</v>
      </c>
      <c r="I18" s="61">
        <f t="shared" si="14"/>
        <v>206</v>
      </c>
      <c r="J18" s="61">
        <f t="shared" si="14"/>
        <v>85</v>
      </c>
      <c r="K18" s="61">
        <f t="shared" si="14"/>
        <v>45</v>
      </c>
      <c r="L18" s="61">
        <f t="shared" si="1"/>
        <v>23</v>
      </c>
      <c r="M18" s="61">
        <f t="shared" si="15"/>
        <v>892</v>
      </c>
      <c r="N18" s="61">
        <f t="shared" si="15"/>
        <v>27</v>
      </c>
      <c r="O18" s="73">
        <f t="shared" si="15"/>
        <v>54</v>
      </c>
      <c r="P18" s="66">
        <f t="shared" si="3"/>
        <v>3136</v>
      </c>
      <c r="Q18" s="401">
        <v>186</v>
      </c>
      <c r="R18" s="401">
        <v>160</v>
      </c>
      <c r="S18" s="401">
        <v>43</v>
      </c>
      <c r="T18" s="401">
        <v>66</v>
      </c>
      <c r="U18" s="401">
        <v>36</v>
      </c>
      <c r="V18" s="401">
        <v>33</v>
      </c>
      <c r="W18" s="402">
        <v>19</v>
      </c>
      <c r="X18" s="402">
        <v>8</v>
      </c>
      <c r="Y18" s="402">
        <v>284</v>
      </c>
      <c r="Z18" s="402">
        <v>7</v>
      </c>
      <c r="AA18" s="403">
        <v>18</v>
      </c>
      <c r="AB18" s="271">
        <f t="shared" si="4"/>
        <v>860</v>
      </c>
      <c r="AC18" s="384">
        <v>485</v>
      </c>
      <c r="AD18" s="385">
        <v>429</v>
      </c>
      <c r="AE18" s="385">
        <v>161</v>
      </c>
      <c r="AF18" s="386">
        <v>274</v>
      </c>
      <c r="AG18" s="386">
        <v>170</v>
      </c>
      <c r="AH18" s="386">
        <v>52</v>
      </c>
      <c r="AI18" s="386">
        <v>26</v>
      </c>
      <c r="AJ18" s="386">
        <v>15</v>
      </c>
      <c r="AK18" s="386">
        <v>608</v>
      </c>
      <c r="AL18" s="386">
        <v>20</v>
      </c>
      <c r="AM18" s="393">
        <v>36</v>
      </c>
      <c r="AN18" s="264">
        <f t="shared" si="5"/>
        <v>2276</v>
      </c>
      <c r="AP18" s="8">
        <f t="shared" si="6"/>
      </c>
    </row>
    <row r="19" spans="2:42" s="9" customFormat="1" ht="22.5" customHeight="1" thickBot="1" thickTop="1">
      <c r="B19" s="648"/>
      <c r="C19" s="812" t="s">
        <v>7</v>
      </c>
      <c r="D19" s="813"/>
      <c r="E19" s="47">
        <f aca="true" t="shared" si="16" ref="E19:AN19">E17+E18</f>
        <v>3438</v>
      </c>
      <c r="F19" s="48">
        <f t="shared" si="16"/>
        <v>2763</v>
      </c>
      <c r="G19" s="48">
        <f t="shared" si="16"/>
        <v>864</v>
      </c>
      <c r="H19" s="48">
        <f t="shared" si="16"/>
        <v>1860</v>
      </c>
      <c r="I19" s="48">
        <f t="shared" si="16"/>
        <v>1123</v>
      </c>
      <c r="J19" s="48">
        <f t="shared" si="16"/>
        <v>438</v>
      </c>
      <c r="K19" s="48">
        <f t="shared" si="16"/>
        <v>282</v>
      </c>
      <c r="L19" s="48">
        <f t="shared" si="1"/>
        <v>129</v>
      </c>
      <c r="M19" s="48">
        <f>M17+M18</f>
        <v>6229</v>
      </c>
      <c r="N19" s="48">
        <f>N17+N18</f>
        <v>245</v>
      </c>
      <c r="O19" s="74">
        <f>O17+O18</f>
        <v>99</v>
      </c>
      <c r="P19" s="57">
        <f t="shared" si="3"/>
        <v>17470</v>
      </c>
      <c r="Q19" s="279">
        <f t="shared" si="16"/>
        <v>943</v>
      </c>
      <c r="R19" s="266">
        <f t="shared" si="16"/>
        <v>742</v>
      </c>
      <c r="S19" s="266">
        <f t="shared" si="16"/>
        <v>161</v>
      </c>
      <c r="T19" s="266">
        <f t="shared" si="16"/>
        <v>342</v>
      </c>
      <c r="U19" s="266">
        <f t="shared" si="16"/>
        <v>157</v>
      </c>
      <c r="V19" s="266">
        <f t="shared" si="16"/>
        <v>152</v>
      </c>
      <c r="W19" s="266">
        <f t="shared" si="16"/>
        <v>125</v>
      </c>
      <c r="X19" s="266">
        <f t="shared" si="16"/>
        <v>44</v>
      </c>
      <c r="Y19" s="266">
        <f t="shared" si="16"/>
        <v>1841</v>
      </c>
      <c r="Z19" s="266">
        <f t="shared" si="16"/>
        <v>72</v>
      </c>
      <c r="AA19" s="266">
        <f t="shared" si="16"/>
        <v>35</v>
      </c>
      <c r="AB19" s="280">
        <f t="shared" si="16"/>
        <v>4614</v>
      </c>
      <c r="AC19" s="279">
        <f t="shared" si="16"/>
        <v>2495</v>
      </c>
      <c r="AD19" s="266">
        <f t="shared" si="16"/>
        <v>2021</v>
      </c>
      <c r="AE19" s="266">
        <f t="shared" si="16"/>
        <v>703</v>
      </c>
      <c r="AF19" s="266">
        <f t="shared" si="16"/>
        <v>1518</v>
      </c>
      <c r="AG19" s="266">
        <f t="shared" si="16"/>
        <v>966</v>
      </c>
      <c r="AH19" s="266">
        <f t="shared" si="16"/>
        <v>286</v>
      </c>
      <c r="AI19" s="266">
        <f>AI17+AI18</f>
        <v>157</v>
      </c>
      <c r="AJ19" s="266">
        <f>AJ17+AJ18</f>
        <v>85</v>
      </c>
      <c r="AK19" s="266">
        <f>AK17+AK18</f>
        <v>4388</v>
      </c>
      <c r="AL19" s="266">
        <f>AL17+AL18</f>
        <v>173</v>
      </c>
      <c r="AM19" s="266">
        <f>AM17+AM18</f>
        <v>64</v>
      </c>
      <c r="AN19" s="281">
        <f t="shared" si="16"/>
        <v>12856</v>
      </c>
      <c r="AP19" s="8">
        <f t="shared" si="6"/>
      </c>
    </row>
    <row r="20" spans="2:42" s="9" customFormat="1" ht="22.5" customHeight="1">
      <c r="B20" s="646" t="s">
        <v>45</v>
      </c>
      <c r="C20" s="800" t="s">
        <v>13</v>
      </c>
      <c r="D20" s="801"/>
      <c r="E20" s="107">
        <f aca="true" t="shared" si="17" ref="E20:K22">Q20+AC20</f>
        <v>557</v>
      </c>
      <c r="F20" s="52">
        <f t="shared" si="17"/>
        <v>465</v>
      </c>
      <c r="G20" s="52">
        <f t="shared" si="17"/>
        <v>206</v>
      </c>
      <c r="H20" s="54">
        <f t="shared" si="17"/>
        <v>328</v>
      </c>
      <c r="I20" s="54">
        <f t="shared" si="17"/>
        <v>243</v>
      </c>
      <c r="J20" s="54">
        <f t="shared" si="17"/>
        <v>88</v>
      </c>
      <c r="K20" s="54">
        <f t="shared" si="17"/>
        <v>52</v>
      </c>
      <c r="L20" s="54">
        <f t="shared" si="1"/>
        <v>22</v>
      </c>
      <c r="M20" s="54">
        <f aca="true" t="shared" si="18" ref="M20:O22">Y20+AK20</f>
        <v>595</v>
      </c>
      <c r="N20" s="54">
        <f t="shared" si="18"/>
        <v>20</v>
      </c>
      <c r="O20" s="113">
        <f t="shared" si="18"/>
        <v>61</v>
      </c>
      <c r="P20" s="67">
        <f t="shared" si="3"/>
        <v>2637</v>
      </c>
      <c r="Q20" s="375">
        <v>138</v>
      </c>
      <c r="R20" s="376">
        <v>119</v>
      </c>
      <c r="S20" s="376">
        <v>33</v>
      </c>
      <c r="T20" s="377">
        <v>59</v>
      </c>
      <c r="U20" s="377">
        <v>26</v>
      </c>
      <c r="V20" s="377">
        <v>13</v>
      </c>
      <c r="W20" s="378">
        <v>11</v>
      </c>
      <c r="X20" s="378">
        <v>5</v>
      </c>
      <c r="Y20" s="378">
        <v>156</v>
      </c>
      <c r="Z20" s="378">
        <v>3</v>
      </c>
      <c r="AA20" s="378">
        <v>21</v>
      </c>
      <c r="AB20" s="271">
        <f t="shared" si="4"/>
        <v>584</v>
      </c>
      <c r="AC20" s="375">
        <v>419</v>
      </c>
      <c r="AD20" s="376">
        <v>346</v>
      </c>
      <c r="AE20" s="376">
        <v>173</v>
      </c>
      <c r="AF20" s="377">
        <v>269</v>
      </c>
      <c r="AG20" s="377">
        <v>217</v>
      </c>
      <c r="AH20" s="377">
        <v>75</v>
      </c>
      <c r="AI20" s="377">
        <v>41</v>
      </c>
      <c r="AJ20" s="377">
        <v>17</v>
      </c>
      <c r="AK20" s="377">
        <v>439</v>
      </c>
      <c r="AL20" s="377">
        <v>17</v>
      </c>
      <c r="AM20" s="407">
        <v>40</v>
      </c>
      <c r="AN20" s="264">
        <f>SUM(AC20:AM20)</f>
        <v>2053</v>
      </c>
      <c r="AP20" s="8">
        <f t="shared" si="6"/>
      </c>
    </row>
    <row r="21" spans="1:42" s="8" customFormat="1" ht="22.5" customHeight="1">
      <c r="A21" s="9"/>
      <c r="B21" s="647"/>
      <c r="C21" s="802" t="s">
        <v>14</v>
      </c>
      <c r="D21" s="803"/>
      <c r="E21" s="107">
        <f t="shared" si="17"/>
        <v>24</v>
      </c>
      <c r="F21" s="52">
        <f t="shared" si="17"/>
        <v>36</v>
      </c>
      <c r="G21" s="52">
        <f t="shared" si="17"/>
        <v>11</v>
      </c>
      <c r="H21" s="54">
        <f t="shared" si="17"/>
        <v>24</v>
      </c>
      <c r="I21" s="54">
        <f t="shared" si="17"/>
        <v>10</v>
      </c>
      <c r="J21" s="54">
        <f t="shared" si="17"/>
        <v>1</v>
      </c>
      <c r="K21" s="54">
        <f t="shared" si="17"/>
        <v>6</v>
      </c>
      <c r="L21" s="54">
        <f t="shared" si="1"/>
        <v>1</v>
      </c>
      <c r="M21" s="54">
        <f t="shared" si="18"/>
        <v>31</v>
      </c>
      <c r="N21" s="54">
        <f t="shared" si="18"/>
        <v>0</v>
      </c>
      <c r="O21" s="113">
        <f t="shared" si="18"/>
        <v>3</v>
      </c>
      <c r="P21" s="62">
        <f t="shared" si="3"/>
        <v>147</v>
      </c>
      <c r="Q21" s="384">
        <v>5</v>
      </c>
      <c r="R21" s="385">
        <v>10</v>
      </c>
      <c r="S21" s="385">
        <v>2</v>
      </c>
      <c r="T21" s="386">
        <v>6</v>
      </c>
      <c r="U21" s="386">
        <v>0</v>
      </c>
      <c r="V21" s="386">
        <v>0</v>
      </c>
      <c r="W21" s="387">
        <v>2</v>
      </c>
      <c r="X21" s="387">
        <v>0</v>
      </c>
      <c r="Y21" s="387">
        <v>13</v>
      </c>
      <c r="Z21" s="387">
        <v>0</v>
      </c>
      <c r="AA21" s="387">
        <v>3</v>
      </c>
      <c r="AB21" s="271">
        <f t="shared" si="4"/>
        <v>41</v>
      </c>
      <c r="AC21" s="384">
        <v>19</v>
      </c>
      <c r="AD21" s="385">
        <v>26</v>
      </c>
      <c r="AE21" s="385">
        <v>9</v>
      </c>
      <c r="AF21" s="386">
        <v>18</v>
      </c>
      <c r="AG21" s="386">
        <v>10</v>
      </c>
      <c r="AH21" s="386">
        <v>1</v>
      </c>
      <c r="AI21" s="386">
        <v>4</v>
      </c>
      <c r="AJ21" s="386">
        <v>1</v>
      </c>
      <c r="AK21" s="386">
        <v>18</v>
      </c>
      <c r="AL21" s="386">
        <v>0</v>
      </c>
      <c r="AM21" s="393">
        <v>0</v>
      </c>
      <c r="AN21" s="264">
        <f>SUM(AC21:AM21)</f>
        <v>106</v>
      </c>
      <c r="AP21" s="8">
        <f t="shared" si="6"/>
      </c>
    </row>
    <row r="22" spans="1:42" s="8" customFormat="1" ht="22.5" customHeight="1" thickBot="1">
      <c r="A22" s="9"/>
      <c r="B22" s="647"/>
      <c r="C22" s="804" t="s">
        <v>64</v>
      </c>
      <c r="D22" s="805"/>
      <c r="E22" s="112">
        <f t="shared" si="17"/>
        <v>65</v>
      </c>
      <c r="F22" s="69">
        <f t="shared" si="17"/>
        <v>100</v>
      </c>
      <c r="G22" s="69">
        <f t="shared" si="17"/>
        <v>32</v>
      </c>
      <c r="H22" s="75">
        <f t="shared" si="17"/>
        <v>60</v>
      </c>
      <c r="I22" s="75">
        <f t="shared" si="17"/>
        <v>37</v>
      </c>
      <c r="J22" s="54">
        <f t="shared" si="17"/>
        <v>12</v>
      </c>
      <c r="K22" s="54">
        <f t="shared" si="17"/>
        <v>9</v>
      </c>
      <c r="L22" s="54">
        <f t="shared" si="1"/>
        <v>2</v>
      </c>
      <c r="M22" s="54">
        <f t="shared" si="18"/>
        <v>55</v>
      </c>
      <c r="N22" s="54">
        <f t="shared" si="18"/>
        <v>0</v>
      </c>
      <c r="O22" s="113">
        <f t="shared" si="18"/>
        <v>3</v>
      </c>
      <c r="P22" s="66">
        <f t="shared" si="3"/>
        <v>375</v>
      </c>
      <c r="Q22" s="388">
        <v>11</v>
      </c>
      <c r="R22" s="389">
        <v>23</v>
      </c>
      <c r="S22" s="389">
        <v>2</v>
      </c>
      <c r="T22" s="405">
        <v>5</v>
      </c>
      <c r="U22" s="405">
        <v>2</v>
      </c>
      <c r="V22" s="405">
        <v>0</v>
      </c>
      <c r="W22" s="406">
        <v>1</v>
      </c>
      <c r="X22" s="406">
        <v>0</v>
      </c>
      <c r="Y22" s="406">
        <v>19</v>
      </c>
      <c r="Z22" s="406">
        <v>0</v>
      </c>
      <c r="AA22" s="406">
        <v>3</v>
      </c>
      <c r="AB22" s="276">
        <f t="shared" si="4"/>
        <v>66</v>
      </c>
      <c r="AC22" s="388">
        <v>54</v>
      </c>
      <c r="AD22" s="389">
        <v>77</v>
      </c>
      <c r="AE22" s="389">
        <v>30</v>
      </c>
      <c r="AF22" s="405">
        <v>55</v>
      </c>
      <c r="AG22" s="405">
        <v>35</v>
      </c>
      <c r="AH22" s="405">
        <v>12</v>
      </c>
      <c r="AI22" s="405">
        <v>8</v>
      </c>
      <c r="AJ22" s="405">
        <v>2</v>
      </c>
      <c r="AK22" s="405">
        <v>36</v>
      </c>
      <c r="AL22" s="405">
        <v>0</v>
      </c>
      <c r="AM22" s="408">
        <v>0</v>
      </c>
      <c r="AN22" s="277">
        <f>SUM(AC22:AM22)</f>
        <v>309</v>
      </c>
      <c r="AP22" s="8">
        <f t="shared" si="6"/>
      </c>
    </row>
    <row r="23" spans="1:42" s="8" customFormat="1" ht="22.5" customHeight="1" thickBot="1" thickTop="1">
      <c r="A23" s="9"/>
      <c r="B23" s="648"/>
      <c r="C23" s="806" t="s">
        <v>7</v>
      </c>
      <c r="D23" s="807"/>
      <c r="E23" s="106">
        <f>SUM(E20:E22)</f>
        <v>646</v>
      </c>
      <c r="F23" s="48">
        <f aca="true" t="shared" si="19" ref="F23:AB23">SUM(F20:F22)</f>
        <v>601</v>
      </c>
      <c r="G23" s="48">
        <f t="shared" si="19"/>
        <v>249</v>
      </c>
      <c r="H23" s="48">
        <f t="shared" si="19"/>
        <v>412</v>
      </c>
      <c r="I23" s="48">
        <f t="shared" si="19"/>
        <v>290</v>
      </c>
      <c r="J23" s="48">
        <f t="shared" si="19"/>
        <v>101</v>
      </c>
      <c r="K23" s="48">
        <f t="shared" si="19"/>
        <v>67</v>
      </c>
      <c r="L23" s="48">
        <f t="shared" si="1"/>
        <v>25</v>
      </c>
      <c r="M23" s="48">
        <f>SUM(M20:M22)</f>
        <v>681</v>
      </c>
      <c r="N23" s="48">
        <f>SUM(N20:N22)</f>
        <v>20</v>
      </c>
      <c r="O23" s="74">
        <f>SUM(O20:O22)</f>
        <v>67</v>
      </c>
      <c r="P23" s="57">
        <f t="shared" si="3"/>
        <v>3159</v>
      </c>
      <c r="Q23" s="265">
        <f t="shared" si="19"/>
        <v>154</v>
      </c>
      <c r="R23" s="282">
        <f t="shared" si="19"/>
        <v>152</v>
      </c>
      <c r="S23" s="282">
        <f t="shared" si="19"/>
        <v>37</v>
      </c>
      <c r="T23" s="282">
        <f t="shared" si="19"/>
        <v>70</v>
      </c>
      <c r="U23" s="282">
        <f t="shared" si="19"/>
        <v>28</v>
      </c>
      <c r="V23" s="282">
        <f t="shared" si="19"/>
        <v>13</v>
      </c>
      <c r="W23" s="282">
        <f t="shared" si="19"/>
        <v>14</v>
      </c>
      <c r="X23" s="282">
        <f t="shared" si="19"/>
        <v>5</v>
      </c>
      <c r="Y23" s="282">
        <f t="shared" si="19"/>
        <v>188</v>
      </c>
      <c r="Z23" s="282">
        <f t="shared" si="19"/>
        <v>3</v>
      </c>
      <c r="AA23" s="282">
        <f t="shared" si="19"/>
        <v>27</v>
      </c>
      <c r="AB23" s="269">
        <f t="shared" si="19"/>
        <v>691</v>
      </c>
      <c r="AC23" s="265">
        <f>SUM(AC20:AC22)</f>
        <v>492</v>
      </c>
      <c r="AD23" s="282">
        <f>SUM(AD20:AD22)</f>
        <v>449</v>
      </c>
      <c r="AE23" s="282">
        <f>SUM(AE20:AE22)</f>
        <v>212</v>
      </c>
      <c r="AF23" s="282">
        <f>SUM(AF20:AF22)</f>
        <v>342</v>
      </c>
      <c r="AG23" s="282">
        <f>SUM(AG20:AG22)</f>
        <v>262</v>
      </c>
      <c r="AH23" s="282">
        <f aca="true" t="shared" si="20" ref="AH23:AN23">SUM(AH20:AH22)</f>
        <v>88</v>
      </c>
      <c r="AI23" s="282">
        <f t="shared" si="20"/>
        <v>53</v>
      </c>
      <c r="AJ23" s="282">
        <f t="shared" si="20"/>
        <v>20</v>
      </c>
      <c r="AK23" s="282">
        <f t="shared" si="20"/>
        <v>493</v>
      </c>
      <c r="AL23" s="282">
        <f t="shared" si="20"/>
        <v>17</v>
      </c>
      <c r="AM23" s="282">
        <f t="shared" si="20"/>
        <v>40</v>
      </c>
      <c r="AN23" s="270">
        <f t="shared" si="20"/>
        <v>2468</v>
      </c>
      <c r="AP23" s="8">
        <f t="shared" si="6"/>
      </c>
    </row>
    <row r="24" spans="1:42" s="8" customFormat="1" ht="22.5" customHeight="1">
      <c r="A24" s="9"/>
      <c r="B24" s="646" t="s">
        <v>46</v>
      </c>
      <c r="C24" s="800" t="s">
        <v>15</v>
      </c>
      <c r="D24" s="801"/>
      <c r="E24" s="105">
        <f aca="true" t="shared" si="21" ref="E24:O34">Q24+AC24</f>
        <v>528</v>
      </c>
      <c r="F24" s="42">
        <f t="shared" si="21"/>
        <v>372</v>
      </c>
      <c r="G24" s="42">
        <f t="shared" si="21"/>
        <v>115</v>
      </c>
      <c r="H24" s="44">
        <f t="shared" si="21"/>
        <v>184</v>
      </c>
      <c r="I24" s="44">
        <f t="shared" si="21"/>
        <v>141</v>
      </c>
      <c r="J24" s="44">
        <f t="shared" si="21"/>
        <v>65</v>
      </c>
      <c r="K24" s="44">
        <f t="shared" si="21"/>
        <v>27</v>
      </c>
      <c r="L24" s="44">
        <f t="shared" si="1"/>
        <v>17</v>
      </c>
      <c r="M24" s="44">
        <f t="shared" si="21"/>
        <v>753</v>
      </c>
      <c r="N24" s="44">
        <f t="shared" si="21"/>
        <v>50</v>
      </c>
      <c r="O24" s="46">
        <f t="shared" si="21"/>
        <v>28</v>
      </c>
      <c r="P24" s="67">
        <f t="shared" si="3"/>
        <v>2280</v>
      </c>
      <c r="Q24" s="375">
        <v>126</v>
      </c>
      <c r="R24" s="376">
        <v>94</v>
      </c>
      <c r="S24" s="376">
        <v>16</v>
      </c>
      <c r="T24" s="377">
        <v>30</v>
      </c>
      <c r="U24" s="377">
        <v>20</v>
      </c>
      <c r="V24" s="377">
        <v>20</v>
      </c>
      <c r="W24" s="377">
        <v>13</v>
      </c>
      <c r="X24" s="377">
        <v>2</v>
      </c>
      <c r="Y24" s="377">
        <v>245</v>
      </c>
      <c r="Z24" s="378">
        <v>16</v>
      </c>
      <c r="AA24" s="378">
        <v>7</v>
      </c>
      <c r="AB24" s="271">
        <f t="shared" si="4"/>
        <v>589</v>
      </c>
      <c r="AC24" s="375">
        <v>402</v>
      </c>
      <c r="AD24" s="376">
        <v>278</v>
      </c>
      <c r="AE24" s="376">
        <v>99</v>
      </c>
      <c r="AF24" s="377">
        <v>154</v>
      </c>
      <c r="AG24" s="377">
        <v>121</v>
      </c>
      <c r="AH24" s="377">
        <v>45</v>
      </c>
      <c r="AI24" s="377">
        <v>14</v>
      </c>
      <c r="AJ24" s="377">
        <v>15</v>
      </c>
      <c r="AK24" s="377">
        <v>508</v>
      </c>
      <c r="AL24" s="377">
        <v>34</v>
      </c>
      <c r="AM24" s="407">
        <v>21</v>
      </c>
      <c r="AN24" s="264">
        <f>SUM(AC24:AM24)</f>
        <v>1691</v>
      </c>
      <c r="AP24" s="8">
        <f t="shared" si="6"/>
      </c>
    </row>
    <row r="25" spans="1:42" s="8" customFormat="1" ht="22.5" customHeight="1">
      <c r="A25" s="9"/>
      <c r="B25" s="647"/>
      <c r="C25" s="802" t="s">
        <v>16</v>
      </c>
      <c r="D25" s="803"/>
      <c r="E25" s="109">
        <f t="shared" si="21"/>
        <v>175</v>
      </c>
      <c r="F25" s="59">
        <f t="shared" si="21"/>
        <v>186</v>
      </c>
      <c r="G25" s="59">
        <f t="shared" si="21"/>
        <v>81</v>
      </c>
      <c r="H25" s="61">
        <f t="shared" si="21"/>
        <v>141</v>
      </c>
      <c r="I25" s="61">
        <f t="shared" si="21"/>
        <v>69</v>
      </c>
      <c r="J25" s="61">
        <f t="shared" si="21"/>
        <v>24</v>
      </c>
      <c r="K25" s="61">
        <f t="shared" si="21"/>
        <v>12</v>
      </c>
      <c r="L25" s="61">
        <f t="shared" si="21"/>
        <v>6</v>
      </c>
      <c r="M25" s="61">
        <f t="shared" si="21"/>
        <v>190</v>
      </c>
      <c r="N25" s="61">
        <f t="shared" si="21"/>
        <v>4</v>
      </c>
      <c r="O25" s="73">
        <f t="shared" si="21"/>
        <v>0</v>
      </c>
      <c r="P25" s="62">
        <f t="shared" si="3"/>
        <v>888</v>
      </c>
      <c r="Q25" s="384">
        <v>46</v>
      </c>
      <c r="R25" s="385">
        <v>47</v>
      </c>
      <c r="S25" s="385">
        <v>18</v>
      </c>
      <c r="T25" s="386">
        <v>25</v>
      </c>
      <c r="U25" s="386">
        <v>12</v>
      </c>
      <c r="V25" s="386">
        <v>8</v>
      </c>
      <c r="W25" s="386">
        <v>5</v>
      </c>
      <c r="X25" s="386">
        <v>1</v>
      </c>
      <c r="Y25" s="386">
        <v>69</v>
      </c>
      <c r="Z25" s="387">
        <v>1</v>
      </c>
      <c r="AA25" s="387">
        <v>0</v>
      </c>
      <c r="AB25" s="271">
        <f t="shared" si="4"/>
        <v>232</v>
      </c>
      <c r="AC25" s="384">
        <v>129</v>
      </c>
      <c r="AD25" s="385">
        <v>139</v>
      </c>
      <c r="AE25" s="385">
        <v>63</v>
      </c>
      <c r="AF25" s="386">
        <v>116</v>
      </c>
      <c r="AG25" s="386">
        <v>57</v>
      </c>
      <c r="AH25" s="386">
        <v>16</v>
      </c>
      <c r="AI25" s="386">
        <v>7</v>
      </c>
      <c r="AJ25" s="386">
        <v>5</v>
      </c>
      <c r="AK25" s="386">
        <v>121</v>
      </c>
      <c r="AL25" s="386">
        <v>3</v>
      </c>
      <c r="AM25" s="393">
        <v>0</v>
      </c>
      <c r="AN25" s="264">
        <f>SUM(AC25:AM25)</f>
        <v>656</v>
      </c>
      <c r="AP25" s="8">
        <f t="shared" si="6"/>
      </c>
    </row>
    <row r="26" spans="1:42" s="8" customFormat="1" ht="22.5" customHeight="1">
      <c r="A26" s="9"/>
      <c r="B26" s="647"/>
      <c r="C26" s="802" t="s">
        <v>17</v>
      </c>
      <c r="D26" s="803"/>
      <c r="E26" s="109">
        <f t="shared" si="21"/>
        <v>74</v>
      </c>
      <c r="F26" s="59">
        <f t="shared" si="21"/>
        <v>103</v>
      </c>
      <c r="G26" s="59">
        <f t="shared" si="21"/>
        <v>37</v>
      </c>
      <c r="H26" s="61">
        <f t="shared" si="21"/>
        <v>75</v>
      </c>
      <c r="I26" s="61">
        <f t="shared" si="21"/>
        <v>24</v>
      </c>
      <c r="J26" s="61">
        <f t="shared" si="21"/>
        <v>2</v>
      </c>
      <c r="K26" s="61">
        <f t="shared" si="21"/>
        <v>3</v>
      </c>
      <c r="L26" s="61">
        <f t="shared" si="21"/>
        <v>1</v>
      </c>
      <c r="M26" s="61">
        <f t="shared" si="21"/>
        <v>72</v>
      </c>
      <c r="N26" s="61">
        <f t="shared" si="21"/>
        <v>1</v>
      </c>
      <c r="O26" s="73">
        <f t="shared" si="21"/>
        <v>11</v>
      </c>
      <c r="P26" s="62">
        <f t="shared" si="3"/>
        <v>403</v>
      </c>
      <c r="Q26" s="384">
        <v>18</v>
      </c>
      <c r="R26" s="385">
        <v>19</v>
      </c>
      <c r="S26" s="385">
        <v>4</v>
      </c>
      <c r="T26" s="386">
        <v>11</v>
      </c>
      <c r="U26" s="386">
        <v>3</v>
      </c>
      <c r="V26" s="386">
        <v>0</v>
      </c>
      <c r="W26" s="386">
        <v>2</v>
      </c>
      <c r="X26" s="386">
        <v>0</v>
      </c>
      <c r="Y26" s="386">
        <v>23</v>
      </c>
      <c r="Z26" s="387">
        <v>1</v>
      </c>
      <c r="AA26" s="387">
        <v>5</v>
      </c>
      <c r="AB26" s="271">
        <f t="shared" si="4"/>
        <v>86</v>
      </c>
      <c r="AC26" s="384">
        <v>56</v>
      </c>
      <c r="AD26" s="385">
        <v>84</v>
      </c>
      <c r="AE26" s="385">
        <v>33</v>
      </c>
      <c r="AF26" s="386">
        <v>64</v>
      </c>
      <c r="AG26" s="386">
        <v>21</v>
      </c>
      <c r="AH26" s="386">
        <v>2</v>
      </c>
      <c r="AI26" s="386">
        <v>1</v>
      </c>
      <c r="AJ26" s="386">
        <v>1</v>
      </c>
      <c r="AK26" s="386">
        <v>49</v>
      </c>
      <c r="AL26" s="386">
        <v>0</v>
      </c>
      <c r="AM26" s="393">
        <v>6</v>
      </c>
      <c r="AN26" s="264">
        <f>SUM(AC26:AM26)</f>
        <v>317</v>
      </c>
      <c r="AP26" s="8">
        <f t="shared" si="6"/>
      </c>
    </row>
    <row r="27" spans="1:42" s="8" customFormat="1" ht="22.5" customHeight="1" thickBot="1">
      <c r="A27" s="9"/>
      <c r="B27" s="647"/>
      <c r="C27" s="810" t="s">
        <v>18</v>
      </c>
      <c r="D27" s="811"/>
      <c r="E27" s="114">
        <f t="shared" si="21"/>
        <v>101</v>
      </c>
      <c r="F27" s="71">
        <f t="shared" si="21"/>
        <v>119</v>
      </c>
      <c r="G27" s="71">
        <f t="shared" si="21"/>
        <v>49</v>
      </c>
      <c r="H27" s="76">
        <f t="shared" si="21"/>
        <v>101</v>
      </c>
      <c r="I27" s="76">
        <f t="shared" si="21"/>
        <v>60</v>
      </c>
      <c r="J27" s="76">
        <f t="shared" si="21"/>
        <v>32</v>
      </c>
      <c r="K27" s="76">
        <f t="shared" si="21"/>
        <v>21</v>
      </c>
      <c r="L27" s="76">
        <f t="shared" si="21"/>
        <v>9</v>
      </c>
      <c r="M27" s="76">
        <f t="shared" si="21"/>
        <v>127</v>
      </c>
      <c r="N27" s="76">
        <f t="shared" si="21"/>
        <v>5</v>
      </c>
      <c r="O27" s="77">
        <f t="shared" si="21"/>
        <v>13</v>
      </c>
      <c r="P27" s="81">
        <f t="shared" si="3"/>
        <v>637</v>
      </c>
      <c r="Q27" s="388">
        <v>26</v>
      </c>
      <c r="R27" s="389">
        <v>31</v>
      </c>
      <c r="S27" s="389">
        <v>6</v>
      </c>
      <c r="T27" s="405">
        <v>20</v>
      </c>
      <c r="U27" s="405">
        <v>12</v>
      </c>
      <c r="V27" s="405">
        <v>8</v>
      </c>
      <c r="W27" s="405">
        <v>8</v>
      </c>
      <c r="X27" s="405">
        <v>3</v>
      </c>
      <c r="Y27" s="405">
        <v>48</v>
      </c>
      <c r="Z27" s="406">
        <v>1</v>
      </c>
      <c r="AA27" s="406">
        <v>2</v>
      </c>
      <c r="AB27" s="276">
        <f t="shared" si="4"/>
        <v>165</v>
      </c>
      <c r="AC27" s="388">
        <v>75</v>
      </c>
      <c r="AD27" s="389">
        <v>88</v>
      </c>
      <c r="AE27" s="389">
        <v>43</v>
      </c>
      <c r="AF27" s="405">
        <v>81</v>
      </c>
      <c r="AG27" s="405">
        <v>48</v>
      </c>
      <c r="AH27" s="405">
        <v>24</v>
      </c>
      <c r="AI27" s="405">
        <v>13</v>
      </c>
      <c r="AJ27" s="405">
        <v>6</v>
      </c>
      <c r="AK27" s="405">
        <v>79</v>
      </c>
      <c r="AL27" s="405">
        <v>4</v>
      </c>
      <c r="AM27" s="408">
        <v>11</v>
      </c>
      <c r="AN27" s="277">
        <f>SUM(AC27:AM27)</f>
        <v>472</v>
      </c>
      <c r="AP27" s="8">
        <f t="shared" si="6"/>
      </c>
    </row>
    <row r="28" spans="1:42" s="8" customFormat="1" ht="22.5" customHeight="1" thickBot="1" thickTop="1">
      <c r="A28" s="9"/>
      <c r="B28" s="648"/>
      <c r="C28" s="812" t="s">
        <v>7</v>
      </c>
      <c r="D28" s="813"/>
      <c r="E28" s="106">
        <f>SUM(E24:E27)</f>
        <v>878</v>
      </c>
      <c r="F28" s="48">
        <f aca="true" t="shared" si="22" ref="F28:AA28">SUM(F24:F27)</f>
        <v>780</v>
      </c>
      <c r="G28" s="48">
        <f t="shared" si="22"/>
        <v>282</v>
      </c>
      <c r="H28" s="48">
        <f t="shared" si="22"/>
        <v>501</v>
      </c>
      <c r="I28" s="48">
        <f t="shared" si="22"/>
        <v>294</v>
      </c>
      <c r="J28" s="48">
        <f t="shared" si="22"/>
        <v>123</v>
      </c>
      <c r="K28" s="48">
        <f t="shared" si="22"/>
        <v>63</v>
      </c>
      <c r="L28" s="48">
        <f t="shared" si="21"/>
        <v>33</v>
      </c>
      <c r="M28" s="48">
        <f>SUM(M24:M27)</f>
        <v>1142</v>
      </c>
      <c r="N28" s="48">
        <f>SUM(N24:N27)</f>
        <v>60</v>
      </c>
      <c r="O28" s="74">
        <f>SUM(O24:O27)</f>
        <v>52</v>
      </c>
      <c r="P28" s="82">
        <f t="shared" si="3"/>
        <v>4208</v>
      </c>
      <c r="Q28" s="265">
        <f t="shared" si="22"/>
        <v>216</v>
      </c>
      <c r="R28" s="282">
        <f t="shared" si="22"/>
        <v>191</v>
      </c>
      <c r="S28" s="282">
        <f t="shared" si="22"/>
        <v>44</v>
      </c>
      <c r="T28" s="282">
        <f t="shared" si="22"/>
        <v>86</v>
      </c>
      <c r="U28" s="282">
        <f t="shared" si="22"/>
        <v>47</v>
      </c>
      <c r="V28" s="282">
        <f t="shared" si="22"/>
        <v>36</v>
      </c>
      <c r="W28" s="282">
        <f>SUM(W24:W27)</f>
        <v>28</v>
      </c>
      <c r="X28" s="282">
        <f>SUM(X24:X27)</f>
        <v>6</v>
      </c>
      <c r="Y28" s="282">
        <f>SUM(Y24:Y27)</f>
        <v>385</v>
      </c>
      <c r="Z28" s="282">
        <f>SUM(Z24:Z27)</f>
        <v>19</v>
      </c>
      <c r="AA28" s="282">
        <f t="shared" si="22"/>
        <v>14</v>
      </c>
      <c r="AB28" s="269">
        <f>SUM(AB24:AB27)</f>
        <v>1072</v>
      </c>
      <c r="AC28" s="265">
        <f aca="true" t="shared" si="23" ref="AC28:AN28">SUM(AC24:AC27)</f>
        <v>662</v>
      </c>
      <c r="AD28" s="282">
        <f t="shared" si="23"/>
        <v>589</v>
      </c>
      <c r="AE28" s="282">
        <f t="shared" si="23"/>
        <v>238</v>
      </c>
      <c r="AF28" s="282">
        <f t="shared" si="23"/>
        <v>415</v>
      </c>
      <c r="AG28" s="282">
        <f t="shared" si="23"/>
        <v>247</v>
      </c>
      <c r="AH28" s="282">
        <f t="shared" si="23"/>
        <v>87</v>
      </c>
      <c r="AI28" s="282">
        <f t="shared" si="23"/>
        <v>35</v>
      </c>
      <c r="AJ28" s="282">
        <f t="shared" si="23"/>
        <v>27</v>
      </c>
      <c r="AK28" s="282">
        <f t="shared" si="23"/>
        <v>757</v>
      </c>
      <c r="AL28" s="282">
        <f t="shared" si="23"/>
        <v>41</v>
      </c>
      <c r="AM28" s="282">
        <f t="shared" si="23"/>
        <v>38</v>
      </c>
      <c r="AN28" s="270">
        <f t="shared" si="23"/>
        <v>3136</v>
      </c>
      <c r="AP28" s="8">
        <f t="shared" si="6"/>
      </c>
    </row>
    <row r="29" spans="1:42" s="8" customFormat="1" ht="22.5" customHeight="1">
      <c r="A29" s="9"/>
      <c r="B29" s="646" t="s">
        <v>96</v>
      </c>
      <c r="C29" s="800" t="s">
        <v>19</v>
      </c>
      <c r="D29" s="801"/>
      <c r="E29" s="105">
        <f aca="true" t="shared" si="24" ref="E29:K34">Q29+AC29</f>
        <v>284</v>
      </c>
      <c r="F29" s="42">
        <f t="shared" si="24"/>
        <v>279</v>
      </c>
      <c r="G29" s="42">
        <f t="shared" si="24"/>
        <v>115</v>
      </c>
      <c r="H29" s="44">
        <f t="shared" si="24"/>
        <v>190</v>
      </c>
      <c r="I29" s="44">
        <f t="shared" si="24"/>
        <v>112</v>
      </c>
      <c r="J29" s="44">
        <f t="shared" si="24"/>
        <v>37</v>
      </c>
      <c r="K29" s="44">
        <f t="shared" si="24"/>
        <v>23</v>
      </c>
      <c r="L29" s="44">
        <f t="shared" si="21"/>
        <v>7</v>
      </c>
      <c r="M29" s="44">
        <f t="shared" si="21"/>
        <v>215</v>
      </c>
      <c r="N29" s="44">
        <f t="shared" si="21"/>
        <v>6</v>
      </c>
      <c r="O29" s="46">
        <f t="shared" si="21"/>
        <v>53</v>
      </c>
      <c r="P29" s="67">
        <f t="shared" si="3"/>
        <v>1321</v>
      </c>
      <c r="Q29" s="375">
        <v>66</v>
      </c>
      <c r="R29" s="376">
        <v>75</v>
      </c>
      <c r="S29" s="376">
        <v>20</v>
      </c>
      <c r="T29" s="377">
        <v>33</v>
      </c>
      <c r="U29" s="377">
        <v>13</v>
      </c>
      <c r="V29" s="377">
        <v>9</v>
      </c>
      <c r="W29" s="377">
        <v>8</v>
      </c>
      <c r="X29" s="377">
        <v>1</v>
      </c>
      <c r="Y29" s="377">
        <v>70</v>
      </c>
      <c r="Z29" s="378">
        <v>2</v>
      </c>
      <c r="AA29" s="378">
        <v>19</v>
      </c>
      <c r="AB29" s="271">
        <f t="shared" si="4"/>
        <v>316</v>
      </c>
      <c r="AC29" s="375">
        <v>218</v>
      </c>
      <c r="AD29" s="376">
        <v>204</v>
      </c>
      <c r="AE29" s="376">
        <v>95</v>
      </c>
      <c r="AF29" s="377">
        <v>157</v>
      </c>
      <c r="AG29" s="377">
        <v>99</v>
      </c>
      <c r="AH29" s="377">
        <v>28</v>
      </c>
      <c r="AI29" s="377">
        <v>15</v>
      </c>
      <c r="AJ29" s="377">
        <v>6</v>
      </c>
      <c r="AK29" s="377">
        <v>145</v>
      </c>
      <c r="AL29" s="377">
        <v>4</v>
      </c>
      <c r="AM29" s="407">
        <v>34</v>
      </c>
      <c r="AN29" s="264">
        <f aca="true" t="shared" si="25" ref="AN29:AN34">SUM(AC29:AM29)</f>
        <v>1005</v>
      </c>
      <c r="AP29" s="8">
        <f t="shared" si="6"/>
      </c>
    </row>
    <row r="30" spans="1:42" s="8" customFormat="1" ht="22.5" customHeight="1">
      <c r="A30" s="9"/>
      <c r="B30" s="647"/>
      <c r="C30" s="802" t="s">
        <v>20</v>
      </c>
      <c r="D30" s="803"/>
      <c r="E30" s="107">
        <f t="shared" si="24"/>
        <v>63</v>
      </c>
      <c r="F30" s="52">
        <f t="shared" si="24"/>
        <v>65</v>
      </c>
      <c r="G30" s="52">
        <f t="shared" si="24"/>
        <v>36</v>
      </c>
      <c r="H30" s="54">
        <f t="shared" si="24"/>
        <v>37</v>
      </c>
      <c r="I30" s="54">
        <f t="shared" si="24"/>
        <v>26</v>
      </c>
      <c r="J30" s="54">
        <f t="shared" si="24"/>
        <v>11</v>
      </c>
      <c r="K30" s="54">
        <f t="shared" si="24"/>
        <v>10</v>
      </c>
      <c r="L30" s="54">
        <f t="shared" si="21"/>
        <v>0</v>
      </c>
      <c r="M30" s="54">
        <f t="shared" si="21"/>
        <v>71</v>
      </c>
      <c r="N30" s="54">
        <f t="shared" si="21"/>
        <v>0</v>
      </c>
      <c r="O30" s="113">
        <f t="shared" si="21"/>
        <v>12</v>
      </c>
      <c r="P30" s="62">
        <f t="shared" si="3"/>
        <v>331</v>
      </c>
      <c r="Q30" s="384">
        <v>15</v>
      </c>
      <c r="R30" s="385">
        <v>16</v>
      </c>
      <c r="S30" s="385">
        <v>8</v>
      </c>
      <c r="T30" s="386">
        <v>7</v>
      </c>
      <c r="U30" s="386">
        <v>6</v>
      </c>
      <c r="V30" s="386">
        <v>4</v>
      </c>
      <c r="W30" s="386">
        <v>3</v>
      </c>
      <c r="X30" s="386">
        <v>0</v>
      </c>
      <c r="Y30" s="386">
        <v>24</v>
      </c>
      <c r="Z30" s="387">
        <v>0</v>
      </c>
      <c r="AA30" s="387">
        <v>3</v>
      </c>
      <c r="AB30" s="271">
        <f t="shared" si="4"/>
        <v>86</v>
      </c>
      <c r="AC30" s="384">
        <v>48</v>
      </c>
      <c r="AD30" s="385">
        <v>49</v>
      </c>
      <c r="AE30" s="385">
        <v>28</v>
      </c>
      <c r="AF30" s="386">
        <v>30</v>
      </c>
      <c r="AG30" s="386">
        <v>20</v>
      </c>
      <c r="AH30" s="386">
        <v>7</v>
      </c>
      <c r="AI30" s="386">
        <v>7</v>
      </c>
      <c r="AJ30" s="386">
        <v>0</v>
      </c>
      <c r="AK30" s="386">
        <v>47</v>
      </c>
      <c r="AL30" s="386">
        <v>0</v>
      </c>
      <c r="AM30" s="393">
        <v>9</v>
      </c>
      <c r="AN30" s="264">
        <f t="shared" si="25"/>
        <v>245</v>
      </c>
      <c r="AP30" s="8">
        <f t="shared" si="6"/>
      </c>
    </row>
    <row r="31" spans="1:42" s="8" customFormat="1" ht="22.5" customHeight="1">
      <c r="A31" s="9"/>
      <c r="B31" s="647"/>
      <c r="C31" s="802" t="s">
        <v>21</v>
      </c>
      <c r="D31" s="803"/>
      <c r="E31" s="107">
        <f t="shared" si="24"/>
        <v>63</v>
      </c>
      <c r="F31" s="52">
        <f t="shared" si="24"/>
        <v>71</v>
      </c>
      <c r="G31" s="52">
        <f t="shared" si="24"/>
        <v>32</v>
      </c>
      <c r="H31" s="54">
        <f t="shared" si="24"/>
        <v>42</v>
      </c>
      <c r="I31" s="54">
        <f t="shared" si="24"/>
        <v>27</v>
      </c>
      <c r="J31" s="54">
        <f t="shared" si="24"/>
        <v>15</v>
      </c>
      <c r="K31" s="54">
        <f t="shared" si="24"/>
        <v>4</v>
      </c>
      <c r="L31" s="54">
        <f t="shared" si="21"/>
        <v>4</v>
      </c>
      <c r="M31" s="54">
        <f t="shared" si="21"/>
        <v>145</v>
      </c>
      <c r="N31" s="54">
        <f t="shared" si="21"/>
        <v>9</v>
      </c>
      <c r="O31" s="113">
        <f t="shared" si="21"/>
        <v>24</v>
      </c>
      <c r="P31" s="62">
        <f t="shared" si="3"/>
        <v>436</v>
      </c>
      <c r="Q31" s="384">
        <v>16</v>
      </c>
      <c r="R31" s="385">
        <v>21</v>
      </c>
      <c r="S31" s="385">
        <v>4</v>
      </c>
      <c r="T31" s="386">
        <v>10</v>
      </c>
      <c r="U31" s="386">
        <v>7</v>
      </c>
      <c r="V31" s="386">
        <v>6</v>
      </c>
      <c r="W31" s="386">
        <v>0</v>
      </c>
      <c r="X31" s="386">
        <v>1</v>
      </c>
      <c r="Y31" s="386">
        <v>50</v>
      </c>
      <c r="Z31" s="387">
        <v>4</v>
      </c>
      <c r="AA31" s="387">
        <v>10</v>
      </c>
      <c r="AB31" s="271">
        <f t="shared" si="4"/>
        <v>129</v>
      </c>
      <c r="AC31" s="384">
        <v>47</v>
      </c>
      <c r="AD31" s="385">
        <v>50</v>
      </c>
      <c r="AE31" s="385">
        <v>28</v>
      </c>
      <c r="AF31" s="386">
        <v>32</v>
      </c>
      <c r="AG31" s="386">
        <v>20</v>
      </c>
      <c r="AH31" s="386">
        <v>9</v>
      </c>
      <c r="AI31" s="386">
        <v>4</v>
      </c>
      <c r="AJ31" s="386">
        <v>3</v>
      </c>
      <c r="AK31" s="386">
        <v>95</v>
      </c>
      <c r="AL31" s="386">
        <v>5</v>
      </c>
      <c r="AM31" s="393">
        <v>14</v>
      </c>
      <c r="AN31" s="264">
        <f t="shared" si="25"/>
        <v>307</v>
      </c>
      <c r="AP31" s="8">
        <f t="shared" si="6"/>
      </c>
    </row>
    <row r="32" spans="1:42" s="8" customFormat="1" ht="22.5" customHeight="1">
      <c r="A32" s="9"/>
      <c r="B32" s="647"/>
      <c r="C32" s="802" t="s">
        <v>22</v>
      </c>
      <c r="D32" s="803"/>
      <c r="E32" s="107">
        <f t="shared" si="24"/>
        <v>103</v>
      </c>
      <c r="F32" s="52">
        <f t="shared" si="24"/>
        <v>126</v>
      </c>
      <c r="G32" s="52">
        <f t="shared" si="24"/>
        <v>38</v>
      </c>
      <c r="H32" s="54">
        <f t="shared" si="24"/>
        <v>59</v>
      </c>
      <c r="I32" s="54">
        <f t="shared" si="24"/>
        <v>33</v>
      </c>
      <c r="J32" s="54">
        <f t="shared" si="24"/>
        <v>17</v>
      </c>
      <c r="K32" s="54">
        <f t="shared" si="24"/>
        <v>12</v>
      </c>
      <c r="L32" s="54">
        <f t="shared" si="21"/>
        <v>3</v>
      </c>
      <c r="M32" s="54">
        <f t="shared" si="21"/>
        <v>154</v>
      </c>
      <c r="N32" s="54">
        <f t="shared" si="21"/>
        <v>9</v>
      </c>
      <c r="O32" s="113">
        <f t="shared" si="21"/>
        <v>15</v>
      </c>
      <c r="P32" s="62">
        <f t="shared" si="3"/>
        <v>569</v>
      </c>
      <c r="Q32" s="384">
        <v>23</v>
      </c>
      <c r="R32" s="385">
        <v>36</v>
      </c>
      <c r="S32" s="385">
        <v>9</v>
      </c>
      <c r="T32" s="386">
        <v>15</v>
      </c>
      <c r="U32" s="386">
        <v>8</v>
      </c>
      <c r="V32" s="386">
        <v>8</v>
      </c>
      <c r="W32" s="386">
        <v>8</v>
      </c>
      <c r="X32" s="386">
        <v>2</v>
      </c>
      <c r="Y32" s="386">
        <v>56</v>
      </c>
      <c r="Z32" s="387">
        <v>2</v>
      </c>
      <c r="AA32" s="387">
        <v>5</v>
      </c>
      <c r="AB32" s="271">
        <f t="shared" si="4"/>
        <v>172</v>
      </c>
      <c r="AC32" s="384">
        <v>80</v>
      </c>
      <c r="AD32" s="385">
        <v>90</v>
      </c>
      <c r="AE32" s="385">
        <v>29</v>
      </c>
      <c r="AF32" s="386">
        <v>44</v>
      </c>
      <c r="AG32" s="386">
        <v>25</v>
      </c>
      <c r="AH32" s="386">
        <v>9</v>
      </c>
      <c r="AI32" s="386">
        <v>4</v>
      </c>
      <c r="AJ32" s="386">
        <v>1</v>
      </c>
      <c r="AK32" s="386">
        <v>98</v>
      </c>
      <c r="AL32" s="386">
        <v>7</v>
      </c>
      <c r="AM32" s="393">
        <v>10</v>
      </c>
      <c r="AN32" s="264">
        <f t="shared" si="25"/>
        <v>397</v>
      </c>
      <c r="AP32" s="8">
        <f t="shared" si="6"/>
      </c>
    </row>
    <row r="33" spans="1:42" s="8" customFormat="1" ht="22.5" customHeight="1">
      <c r="A33" s="9"/>
      <c r="B33" s="647"/>
      <c r="C33" s="802" t="s">
        <v>23</v>
      </c>
      <c r="D33" s="803"/>
      <c r="E33" s="112">
        <f t="shared" si="24"/>
        <v>31</v>
      </c>
      <c r="F33" s="69">
        <f t="shared" si="24"/>
        <v>42</v>
      </c>
      <c r="G33" s="69">
        <f t="shared" si="24"/>
        <v>15</v>
      </c>
      <c r="H33" s="75">
        <f t="shared" si="24"/>
        <v>27</v>
      </c>
      <c r="I33" s="75">
        <f t="shared" si="24"/>
        <v>17</v>
      </c>
      <c r="J33" s="75">
        <f t="shared" si="24"/>
        <v>8</v>
      </c>
      <c r="K33" s="75">
        <f t="shared" si="24"/>
        <v>4</v>
      </c>
      <c r="L33" s="75">
        <f t="shared" si="21"/>
        <v>0</v>
      </c>
      <c r="M33" s="75">
        <f t="shared" si="21"/>
        <v>43</v>
      </c>
      <c r="N33" s="75">
        <f t="shared" si="21"/>
        <v>1</v>
      </c>
      <c r="O33" s="90">
        <f t="shared" si="21"/>
        <v>2</v>
      </c>
      <c r="P33" s="62">
        <f t="shared" si="3"/>
        <v>190</v>
      </c>
      <c r="Q33" s="388">
        <v>6</v>
      </c>
      <c r="R33" s="389">
        <v>9</v>
      </c>
      <c r="S33" s="389">
        <v>2</v>
      </c>
      <c r="T33" s="390">
        <v>3</v>
      </c>
      <c r="U33" s="390">
        <v>3</v>
      </c>
      <c r="V33" s="390">
        <v>3</v>
      </c>
      <c r="W33" s="390">
        <v>2</v>
      </c>
      <c r="X33" s="390">
        <v>0</v>
      </c>
      <c r="Y33" s="390">
        <v>16</v>
      </c>
      <c r="Z33" s="391">
        <v>0</v>
      </c>
      <c r="AA33" s="391">
        <v>2</v>
      </c>
      <c r="AB33" s="276">
        <f t="shared" si="4"/>
        <v>46</v>
      </c>
      <c r="AC33" s="388">
        <v>25</v>
      </c>
      <c r="AD33" s="389">
        <v>33</v>
      </c>
      <c r="AE33" s="389">
        <v>13</v>
      </c>
      <c r="AF33" s="390">
        <v>24</v>
      </c>
      <c r="AG33" s="390">
        <v>14</v>
      </c>
      <c r="AH33" s="390">
        <v>5</v>
      </c>
      <c r="AI33" s="390">
        <v>2</v>
      </c>
      <c r="AJ33" s="390">
        <v>0</v>
      </c>
      <c r="AK33" s="390">
        <v>27</v>
      </c>
      <c r="AL33" s="390">
        <v>1</v>
      </c>
      <c r="AM33" s="394">
        <v>0</v>
      </c>
      <c r="AN33" s="277">
        <f t="shared" si="25"/>
        <v>144</v>
      </c>
      <c r="AP33" s="8">
        <f t="shared" si="6"/>
      </c>
    </row>
    <row r="34" spans="1:42" s="8" customFormat="1" ht="22.5" customHeight="1" thickBot="1">
      <c r="A34" s="9"/>
      <c r="B34" s="649"/>
      <c r="C34" s="804" t="s">
        <v>66</v>
      </c>
      <c r="D34" s="805"/>
      <c r="E34" s="114">
        <f t="shared" si="24"/>
        <v>176</v>
      </c>
      <c r="F34" s="71">
        <f t="shared" si="24"/>
        <v>167</v>
      </c>
      <c r="G34" s="71">
        <f t="shared" si="24"/>
        <v>60</v>
      </c>
      <c r="H34" s="76">
        <f t="shared" si="24"/>
        <v>75</v>
      </c>
      <c r="I34" s="76">
        <f t="shared" si="24"/>
        <v>64</v>
      </c>
      <c r="J34" s="76">
        <f t="shared" si="24"/>
        <v>22</v>
      </c>
      <c r="K34" s="76">
        <f t="shared" si="24"/>
        <v>14</v>
      </c>
      <c r="L34" s="76">
        <f aca="true" t="shared" si="26" ref="L34:L54">X34+AJ34</f>
        <v>7</v>
      </c>
      <c r="M34" s="76">
        <f t="shared" si="21"/>
        <v>266</v>
      </c>
      <c r="N34" s="76">
        <f t="shared" si="21"/>
        <v>4</v>
      </c>
      <c r="O34" s="77">
        <f t="shared" si="21"/>
        <v>20</v>
      </c>
      <c r="P34" s="66">
        <f t="shared" si="3"/>
        <v>875</v>
      </c>
      <c r="Q34" s="409">
        <v>40</v>
      </c>
      <c r="R34" s="410">
        <v>42</v>
      </c>
      <c r="S34" s="410">
        <v>11</v>
      </c>
      <c r="T34" s="411">
        <v>10</v>
      </c>
      <c r="U34" s="411">
        <v>6</v>
      </c>
      <c r="V34" s="411">
        <v>4</v>
      </c>
      <c r="W34" s="405">
        <v>6</v>
      </c>
      <c r="X34" s="405">
        <v>0</v>
      </c>
      <c r="Y34" s="405">
        <v>90</v>
      </c>
      <c r="Z34" s="405">
        <v>2</v>
      </c>
      <c r="AA34" s="408">
        <v>10</v>
      </c>
      <c r="AB34" s="283">
        <f t="shared" si="4"/>
        <v>221</v>
      </c>
      <c r="AC34" s="409">
        <v>136</v>
      </c>
      <c r="AD34" s="410">
        <v>125</v>
      </c>
      <c r="AE34" s="410">
        <v>49</v>
      </c>
      <c r="AF34" s="411">
        <v>65</v>
      </c>
      <c r="AG34" s="411">
        <v>58</v>
      </c>
      <c r="AH34" s="411">
        <v>18</v>
      </c>
      <c r="AI34" s="405">
        <v>8</v>
      </c>
      <c r="AJ34" s="405">
        <v>7</v>
      </c>
      <c r="AK34" s="405">
        <v>176</v>
      </c>
      <c r="AL34" s="405">
        <v>2</v>
      </c>
      <c r="AM34" s="408">
        <v>10</v>
      </c>
      <c r="AN34" s="284">
        <f t="shared" si="25"/>
        <v>654</v>
      </c>
      <c r="AP34" s="8">
        <f t="shared" si="6"/>
      </c>
    </row>
    <row r="35" spans="1:42" s="8" customFormat="1" ht="22.5" customHeight="1" thickBot="1" thickTop="1">
      <c r="A35" s="9"/>
      <c r="B35" s="648"/>
      <c r="C35" s="806" t="s">
        <v>7</v>
      </c>
      <c r="D35" s="807"/>
      <c r="E35" s="112">
        <f aca="true" t="shared" si="27" ref="E35:AN35">SUM(E29:E34)</f>
        <v>720</v>
      </c>
      <c r="F35" s="69">
        <f t="shared" si="27"/>
        <v>750</v>
      </c>
      <c r="G35" s="69">
        <f t="shared" si="27"/>
        <v>296</v>
      </c>
      <c r="H35" s="69">
        <f t="shared" si="27"/>
        <v>430</v>
      </c>
      <c r="I35" s="69">
        <f t="shared" si="27"/>
        <v>279</v>
      </c>
      <c r="J35" s="69">
        <f t="shared" si="27"/>
        <v>110</v>
      </c>
      <c r="K35" s="69">
        <f t="shared" si="27"/>
        <v>67</v>
      </c>
      <c r="L35" s="69">
        <f t="shared" si="26"/>
        <v>21</v>
      </c>
      <c r="M35" s="69">
        <f>SUM(M29:M34)</f>
        <v>894</v>
      </c>
      <c r="N35" s="69">
        <f>SUM(N29:N34)</f>
        <v>29</v>
      </c>
      <c r="O35" s="83">
        <f>SUM(O29:O34)</f>
        <v>126</v>
      </c>
      <c r="P35" s="57">
        <f t="shared" si="3"/>
        <v>3722</v>
      </c>
      <c r="Q35" s="285">
        <f t="shared" si="27"/>
        <v>166</v>
      </c>
      <c r="R35" s="286">
        <f t="shared" si="27"/>
        <v>199</v>
      </c>
      <c r="S35" s="286">
        <f t="shared" si="27"/>
        <v>54</v>
      </c>
      <c r="T35" s="286">
        <f t="shared" si="27"/>
        <v>78</v>
      </c>
      <c r="U35" s="286">
        <f t="shared" si="27"/>
        <v>43</v>
      </c>
      <c r="V35" s="286">
        <f t="shared" si="27"/>
        <v>34</v>
      </c>
      <c r="W35" s="286">
        <f>SUM(W29:W34)</f>
        <v>27</v>
      </c>
      <c r="X35" s="286">
        <f>SUM(X29:X34)</f>
        <v>4</v>
      </c>
      <c r="Y35" s="286">
        <f>SUM(Y29:Y34)</f>
        <v>306</v>
      </c>
      <c r="Z35" s="286">
        <f>SUM(Z29:Z34)</f>
        <v>10</v>
      </c>
      <c r="AA35" s="286">
        <f>SUM(AA29:AA34)</f>
        <v>49</v>
      </c>
      <c r="AB35" s="287">
        <f t="shared" si="27"/>
        <v>970</v>
      </c>
      <c r="AC35" s="285">
        <f t="shared" si="27"/>
        <v>554</v>
      </c>
      <c r="AD35" s="286">
        <f t="shared" si="27"/>
        <v>551</v>
      </c>
      <c r="AE35" s="286">
        <f t="shared" si="27"/>
        <v>242</v>
      </c>
      <c r="AF35" s="286">
        <f t="shared" si="27"/>
        <v>352</v>
      </c>
      <c r="AG35" s="286">
        <f t="shared" si="27"/>
        <v>236</v>
      </c>
      <c r="AH35" s="286">
        <f t="shared" si="27"/>
        <v>76</v>
      </c>
      <c r="AI35" s="286">
        <f>SUM(AI29:AI34)</f>
        <v>40</v>
      </c>
      <c r="AJ35" s="286">
        <f>SUM(AJ29:AJ34)</f>
        <v>17</v>
      </c>
      <c r="AK35" s="286">
        <f>SUM(AK29:AK34)</f>
        <v>588</v>
      </c>
      <c r="AL35" s="286">
        <f>SUM(AL29:AL34)</f>
        <v>19</v>
      </c>
      <c r="AM35" s="286">
        <f>SUM(AM29:AM34)</f>
        <v>77</v>
      </c>
      <c r="AN35" s="288">
        <f t="shared" si="27"/>
        <v>2752</v>
      </c>
      <c r="AP35" s="8">
        <f t="shared" si="6"/>
      </c>
    </row>
    <row r="36" spans="1:42" s="8" customFormat="1" ht="22.5" customHeight="1">
      <c r="A36" s="9"/>
      <c r="B36" s="650" t="s">
        <v>97</v>
      </c>
      <c r="C36" s="800" t="s">
        <v>24</v>
      </c>
      <c r="D36" s="801"/>
      <c r="E36" s="105">
        <f aca="true" t="shared" si="28" ref="E36:K42">Q36+AC36</f>
        <v>515</v>
      </c>
      <c r="F36" s="42">
        <f t="shared" si="28"/>
        <v>472</v>
      </c>
      <c r="G36" s="42">
        <f t="shared" si="28"/>
        <v>179</v>
      </c>
      <c r="H36" s="44">
        <f t="shared" si="28"/>
        <v>311</v>
      </c>
      <c r="I36" s="44">
        <f t="shared" si="28"/>
        <v>193</v>
      </c>
      <c r="J36" s="44">
        <f t="shared" si="28"/>
        <v>90</v>
      </c>
      <c r="K36" s="44">
        <f t="shared" si="28"/>
        <v>29</v>
      </c>
      <c r="L36" s="44">
        <f t="shared" si="26"/>
        <v>20</v>
      </c>
      <c r="M36" s="44">
        <f aca="true" t="shared" si="29" ref="M36:O40">Y36+AK36</f>
        <v>813</v>
      </c>
      <c r="N36" s="44">
        <f t="shared" si="29"/>
        <v>24</v>
      </c>
      <c r="O36" s="46">
        <f t="shared" si="29"/>
        <v>66</v>
      </c>
      <c r="P36" s="67">
        <f t="shared" si="3"/>
        <v>2712</v>
      </c>
      <c r="Q36" s="375">
        <v>133</v>
      </c>
      <c r="R36" s="376">
        <v>126</v>
      </c>
      <c r="S36" s="376">
        <v>31</v>
      </c>
      <c r="T36" s="377">
        <v>45</v>
      </c>
      <c r="U36" s="377">
        <v>23</v>
      </c>
      <c r="V36" s="377">
        <v>29</v>
      </c>
      <c r="W36" s="377">
        <v>11</v>
      </c>
      <c r="X36" s="377">
        <v>2</v>
      </c>
      <c r="Y36" s="377">
        <v>239</v>
      </c>
      <c r="Z36" s="378">
        <v>5</v>
      </c>
      <c r="AA36" s="378">
        <v>25</v>
      </c>
      <c r="AB36" s="271">
        <f t="shared" si="4"/>
        <v>669</v>
      </c>
      <c r="AC36" s="375">
        <v>382</v>
      </c>
      <c r="AD36" s="376">
        <v>346</v>
      </c>
      <c r="AE36" s="376">
        <v>148</v>
      </c>
      <c r="AF36" s="377">
        <v>266</v>
      </c>
      <c r="AG36" s="377">
        <v>170</v>
      </c>
      <c r="AH36" s="377">
        <v>61</v>
      </c>
      <c r="AI36" s="377">
        <v>18</v>
      </c>
      <c r="AJ36" s="377">
        <v>18</v>
      </c>
      <c r="AK36" s="377">
        <v>574</v>
      </c>
      <c r="AL36" s="377">
        <v>19</v>
      </c>
      <c r="AM36" s="407">
        <v>41</v>
      </c>
      <c r="AN36" s="264">
        <f aca="true" t="shared" si="30" ref="AN36:AN42">SUM(AC36:AM36)</f>
        <v>2043</v>
      </c>
      <c r="AP36" s="8">
        <f t="shared" si="6"/>
      </c>
    </row>
    <row r="37" spans="1:42" s="8" customFormat="1" ht="22.5" customHeight="1">
      <c r="A37" s="9"/>
      <c r="B37" s="651"/>
      <c r="C37" s="802" t="s">
        <v>25</v>
      </c>
      <c r="D37" s="803"/>
      <c r="E37" s="109">
        <f t="shared" si="28"/>
        <v>41</v>
      </c>
      <c r="F37" s="59">
        <f t="shared" si="28"/>
        <v>35</v>
      </c>
      <c r="G37" s="59">
        <f t="shared" si="28"/>
        <v>14</v>
      </c>
      <c r="H37" s="61">
        <f t="shared" si="28"/>
        <v>9</v>
      </c>
      <c r="I37" s="61">
        <f t="shared" si="28"/>
        <v>13</v>
      </c>
      <c r="J37" s="61">
        <f t="shared" si="28"/>
        <v>11</v>
      </c>
      <c r="K37" s="61">
        <f>W37+AI37</f>
        <v>8</v>
      </c>
      <c r="L37" s="61">
        <f t="shared" si="26"/>
        <v>8</v>
      </c>
      <c r="M37" s="61">
        <f t="shared" si="29"/>
        <v>65</v>
      </c>
      <c r="N37" s="61">
        <f t="shared" si="29"/>
        <v>11</v>
      </c>
      <c r="O37" s="73">
        <f t="shared" si="29"/>
        <v>12</v>
      </c>
      <c r="P37" s="62">
        <f t="shared" si="3"/>
        <v>227</v>
      </c>
      <c r="Q37" s="384">
        <v>10</v>
      </c>
      <c r="R37" s="385">
        <v>10</v>
      </c>
      <c r="S37" s="385">
        <v>4</v>
      </c>
      <c r="T37" s="386">
        <v>6</v>
      </c>
      <c r="U37" s="386">
        <v>7</v>
      </c>
      <c r="V37" s="386">
        <v>8</v>
      </c>
      <c r="W37" s="386">
        <v>8</v>
      </c>
      <c r="X37" s="386">
        <v>8</v>
      </c>
      <c r="Y37" s="386">
        <v>27</v>
      </c>
      <c r="Z37" s="387">
        <v>11</v>
      </c>
      <c r="AA37" s="387">
        <v>12</v>
      </c>
      <c r="AB37" s="271">
        <f t="shared" si="4"/>
        <v>111</v>
      </c>
      <c r="AC37" s="384">
        <v>31</v>
      </c>
      <c r="AD37" s="385">
        <v>25</v>
      </c>
      <c r="AE37" s="385">
        <v>10</v>
      </c>
      <c r="AF37" s="386">
        <v>3</v>
      </c>
      <c r="AG37" s="386">
        <v>6</v>
      </c>
      <c r="AH37" s="386">
        <v>3</v>
      </c>
      <c r="AI37" s="386">
        <v>0</v>
      </c>
      <c r="AJ37" s="386">
        <v>0</v>
      </c>
      <c r="AK37" s="386">
        <v>38</v>
      </c>
      <c r="AL37" s="386">
        <v>0</v>
      </c>
      <c r="AM37" s="393">
        <v>0</v>
      </c>
      <c r="AN37" s="264">
        <f t="shared" si="30"/>
        <v>116</v>
      </c>
      <c r="AP37" s="8">
        <f t="shared" si="6"/>
      </c>
    </row>
    <row r="38" spans="1:42" s="8" customFormat="1" ht="22.5" customHeight="1">
      <c r="A38" s="9"/>
      <c r="B38" s="651"/>
      <c r="C38" s="802" t="s">
        <v>26</v>
      </c>
      <c r="D38" s="803"/>
      <c r="E38" s="109">
        <f t="shared" si="28"/>
        <v>19</v>
      </c>
      <c r="F38" s="59">
        <f t="shared" si="28"/>
        <v>18</v>
      </c>
      <c r="G38" s="59">
        <f t="shared" si="28"/>
        <v>7</v>
      </c>
      <c r="H38" s="61">
        <f t="shared" si="28"/>
        <v>5</v>
      </c>
      <c r="I38" s="61">
        <f t="shared" si="28"/>
        <v>4</v>
      </c>
      <c r="J38" s="61">
        <f t="shared" si="28"/>
        <v>1</v>
      </c>
      <c r="K38" s="61">
        <f>W38+AI38</f>
        <v>0</v>
      </c>
      <c r="L38" s="61">
        <f t="shared" si="26"/>
        <v>0</v>
      </c>
      <c r="M38" s="61">
        <f t="shared" si="29"/>
        <v>15</v>
      </c>
      <c r="N38" s="61">
        <f t="shared" si="29"/>
        <v>1</v>
      </c>
      <c r="O38" s="73">
        <f t="shared" si="29"/>
        <v>11</v>
      </c>
      <c r="P38" s="62">
        <f t="shared" si="3"/>
        <v>81</v>
      </c>
      <c r="Q38" s="384">
        <v>8</v>
      </c>
      <c r="R38" s="385">
        <v>5</v>
      </c>
      <c r="S38" s="385">
        <v>2</v>
      </c>
      <c r="T38" s="386">
        <v>0</v>
      </c>
      <c r="U38" s="386">
        <v>1</v>
      </c>
      <c r="V38" s="386">
        <v>1</v>
      </c>
      <c r="W38" s="386">
        <v>0</v>
      </c>
      <c r="X38" s="386">
        <v>0</v>
      </c>
      <c r="Y38" s="386">
        <v>6</v>
      </c>
      <c r="Z38" s="387">
        <v>1</v>
      </c>
      <c r="AA38" s="387">
        <v>6</v>
      </c>
      <c r="AB38" s="271">
        <f t="shared" si="4"/>
        <v>30</v>
      </c>
      <c r="AC38" s="384">
        <v>11</v>
      </c>
      <c r="AD38" s="385">
        <v>13</v>
      </c>
      <c r="AE38" s="385">
        <v>5</v>
      </c>
      <c r="AF38" s="386">
        <v>5</v>
      </c>
      <c r="AG38" s="386">
        <v>3</v>
      </c>
      <c r="AH38" s="386">
        <v>0</v>
      </c>
      <c r="AI38" s="386">
        <v>0</v>
      </c>
      <c r="AJ38" s="386">
        <v>0</v>
      </c>
      <c r="AK38" s="386">
        <v>9</v>
      </c>
      <c r="AL38" s="386">
        <v>0</v>
      </c>
      <c r="AM38" s="393">
        <v>5</v>
      </c>
      <c r="AN38" s="264">
        <f t="shared" si="30"/>
        <v>51</v>
      </c>
      <c r="AP38" s="8">
        <f t="shared" si="6"/>
      </c>
    </row>
    <row r="39" spans="1:42" s="8" customFormat="1" ht="22.5" customHeight="1">
      <c r="A39" s="9"/>
      <c r="B39" s="651"/>
      <c r="C39" s="802" t="s">
        <v>27</v>
      </c>
      <c r="D39" s="803"/>
      <c r="E39" s="110">
        <f t="shared" si="28"/>
        <v>33</v>
      </c>
      <c r="F39" s="64">
        <f t="shared" si="28"/>
        <v>48</v>
      </c>
      <c r="G39" s="64">
        <f t="shared" si="28"/>
        <v>14</v>
      </c>
      <c r="H39" s="55">
        <f t="shared" si="28"/>
        <v>29</v>
      </c>
      <c r="I39" s="55">
        <f t="shared" si="28"/>
        <v>22</v>
      </c>
      <c r="J39" s="55">
        <f t="shared" si="28"/>
        <v>10</v>
      </c>
      <c r="K39" s="55">
        <f>W39+AI39</f>
        <v>3</v>
      </c>
      <c r="L39" s="55">
        <f t="shared" si="26"/>
        <v>2</v>
      </c>
      <c r="M39" s="55">
        <f t="shared" si="29"/>
        <v>53</v>
      </c>
      <c r="N39" s="55">
        <f t="shared" si="29"/>
        <v>3</v>
      </c>
      <c r="O39" s="56">
        <f t="shared" si="29"/>
        <v>7</v>
      </c>
      <c r="P39" s="62">
        <f t="shared" si="3"/>
        <v>224</v>
      </c>
      <c r="Q39" s="388">
        <v>12</v>
      </c>
      <c r="R39" s="389">
        <v>11</v>
      </c>
      <c r="S39" s="389">
        <v>2</v>
      </c>
      <c r="T39" s="390">
        <v>5</v>
      </c>
      <c r="U39" s="390">
        <v>6</v>
      </c>
      <c r="V39" s="390">
        <v>3</v>
      </c>
      <c r="W39" s="390">
        <v>1</v>
      </c>
      <c r="X39" s="390">
        <v>1</v>
      </c>
      <c r="Y39" s="390">
        <v>19</v>
      </c>
      <c r="Z39" s="391">
        <v>0</v>
      </c>
      <c r="AA39" s="391">
        <v>1</v>
      </c>
      <c r="AB39" s="273">
        <f>SUM(Q39:AA39)</f>
        <v>61</v>
      </c>
      <c r="AC39" s="388">
        <v>21</v>
      </c>
      <c r="AD39" s="389">
        <v>37</v>
      </c>
      <c r="AE39" s="389">
        <v>12</v>
      </c>
      <c r="AF39" s="390">
        <v>24</v>
      </c>
      <c r="AG39" s="390">
        <v>16</v>
      </c>
      <c r="AH39" s="390">
        <v>7</v>
      </c>
      <c r="AI39" s="390">
        <v>2</v>
      </c>
      <c r="AJ39" s="390">
        <v>1</v>
      </c>
      <c r="AK39" s="390">
        <v>34</v>
      </c>
      <c r="AL39" s="390">
        <v>3</v>
      </c>
      <c r="AM39" s="394">
        <v>6</v>
      </c>
      <c r="AN39" s="289">
        <f>SUM(AC39:AM39)</f>
        <v>163</v>
      </c>
      <c r="AP39" s="8">
        <f t="shared" si="6"/>
      </c>
    </row>
    <row r="40" spans="1:42" s="8" customFormat="1" ht="22.5" customHeight="1" thickBot="1">
      <c r="A40" s="9"/>
      <c r="B40" s="651"/>
      <c r="C40" s="810" t="s">
        <v>67</v>
      </c>
      <c r="D40" s="811"/>
      <c r="E40" s="109">
        <f t="shared" si="28"/>
        <v>166</v>
      </c>
      <c r="F40" s="59">
        <f t="shared" si="28"/>
        <v>135</v>
      </c>
      <c r="G40" s="59">
        <f t="shared" si="28"/>
        <v>40</v>
      </c>
      <c r="H40" s="61">
        <f t="shared" si="28"/>
        <v>61</v>
      </c>
      <c r="I40" s="61">
        <f t="shared" si="28"/>
        <v>32</v>
      </c>
      <c r="J40" s="61">
        <f t="shared" si="28"/>
        <v>20</v>
      </c>
      <c r="K40" s="61">
        <f>W40+AI40</f>
        <v>7</v>
      </c>
      <c r="L40" s="61">
        <f t="shared" si="26"/>
        <v>12</v>
      </c>
      <c r="M40" s="61">
        <f t="shared" si="29"/>
        <v>432</v>
      </c>
      <c r="N40" s="61">
        <f t="shared" si="29"/>
        <v>11</v>
      </c>
      <c r="O40" s="73">
        <f t="shared" si="29"/>
        <v>78</v>
      </c>
      <c r="P40" s="66">
        <f t="shared" si="3"/>
        <v>994</v>
      </c>
      <c r="Q40" s="384">
        <v>50</v>
      </c>
      <c r="R40" s="385">
        <v>39</v>
      </c>
      <c r="S40" s="385">
        <v>8</v>
      </c>
      <c r="T40" s="386">
        <v>8</v>
      </c>
      <c r="U40" s="386">
        <v>1</v>
      </c>
      <c r="V40" s="386">
        <v>6</v>
      </c>
      <c r="W40" s="386">
        <v>1</v>
      </c>
      <c r="X40" s="386">
        <v>4</v>
      </c>
      <c r="Y40" s="386">
        <v>125</v>
      </c>
      <c r="Z40" s="387">
        <v>1</v>
      </c>
      <c r="AA40" s="387">
        <v>26</v>
      </c>
      <c r="AB40" s="271">
        <f t="shared" si="4"/>
        <v>269</v>
      </c>
      <c r="AC40" s="384">
        <v>116</v>
      </c>
      <c r="AD40" s="385">
        <v>96</v>
      </c>
      <c r="AE40" s="385">
        <v>32</v>
      </c>
      <c r="AF40" s="386">
        <v>53</v>
      </c>
      <c r="AG40" s="386">
        <v>31</v>
      </c>
      <c r="AH40" s="386">
        <v>14</v>
      </c>
      <c r="AI40" s="386">
        <v>6</v>
      </c>
      <c r="AJ40" s="386">
        <v>8</v>
      </c>
      <c r="AK40" s="386">
        <v>307</v>
      </c>
      <c r="AL40" s="386">
        <v>10</v>
      </c>
      <c r="AM40" s="393">
        <v>52</v>
      </c>
      <c r="AN40" s="264">
        <f t="shared" si="30"/>
        <v>725</v>
      </c>
      <c r="AP40" s="8">
        <f t="shared" si="6"/>
      </c>
    </row>
    <row r="41" spans="1:42" s="8" customFormat="1" ht="22.5" customHeight="1" thickBot="1" thickTop="1">
      <c r="A41" s="9"/>
      <c r="B41" s="652"/>
      <c r="C41" s="812" t="s">
        <v>7</v>
      </c>
      <c r="D41" s="813"/>
      <c r="E41" s="106">
        <f aca="true" t="shared" si="31" ref="E41:K41">SUM(E36:E40)</f>
        <v>774</v>
      </c>
      <c r="F41" s="48">
        <f t="shared" si="31"/>
        <v>708</v>
      </c>
      <c r="G41" s="48">
        <f t="shared" si="31"/>
        <v>254</v>
      </c>
      <c r="H41" s="50">
        <f t="shared" si="31"/>
        <v>415</v>
      </c>
      <c r="I41" s="50">
        <f t="shared" si="31"/>
        <v>264</v>
      </c>
      <c r="J41" s="50">
        <f t="shared" si="31"/>
        <v>132</v>
      </c>
      <c r="K41" s="50">
        <f t="shared" si="31"/>
        <v>47</v>
      </c>
      <c r="L41" s="50">
        <f t="shared" si="26"/>
        <v>42</v>
      </c>
      <c r="M41" s="50">
        <f>SUM(M36:M40)</f>
        <v>1378</v>
      </c>
      <c r="N41" s="50">
        <f>SUM(N36:N40)</f>
        <v>50</v>
      </c>
      <c r="O41" s="51">
        <f>SUM(O36:O40)</f>
        <v>174</v>
      </c>
      <c r="P41" s="57">
        <f t="shared" si="3"/>
        <v>4238</v>
      </c>
      <c r="Q41" s="265">
        <f aca="true" t="shared" si="32" ref="Q41:V41">SUM(Q36:Q40)</f>
        <v>213</v>
      </c>
      <c r="R41" s="266">
        <f t="shared" si="32"/>
        <v>191</v>
      </c>
      <c r="S41" s="266">
        <f t="shared" si="32"/>
        <v>47</v>
      </c>
      <c r="T41" s="267">
        <f t="shared" si="32"/>
        <v>64</v>
      </c>
      <c r="U41" s="267">
        <f t="shared" si="32"/>
        <v>38</v>
      </c>
      <c r="V41" s="267">
        <f t="shared" si="32"/>
        <v>47</v>
      </c>
      <c r="W41" s="267">
        <f>SUM(W36:W40)</f>
        <v>21</v>
      </c>
      <c r="X41" s="267">
        <f>SUM(X36:X40)</f>
        <v>15</v>
      </c>
      <c r="Y41" s="267">
        <f>SUM(Y36:Y40)</f>
        <v>416</v>
      </c>
      <c r="Z41" s="267">
        <f>SUM(Z36:Z40)</f>
        <v>18</v>
      </c>
      <c r="AA41" s="267">
        <f>SUM(AA36:AA40)</f>
        <v>70</v>
      </c>
      <c r="AB41" s="269">
        <f t="shared" si="4"/>
        <v>1140</v>
      </c>
      <c r="AC41" s="265">
        <f aca="true" t="shared" si="33" ref="AC41:AH41">SUM(AC36:AC40)</f>
        <v>561</v>
      </c>
      <c r="AD41" s="266">
        <f t="shared" si="33"/>
        <v>517</v>
      </c>
      <c r="AE41" s="266">
        <f t="shared" si="33"/>
        <v>207</v>
      </c>
      <c r="AF41" s="267">
        <f t="shared" si="33"/>
        <v>351</v>
      </c>
      <c r="AG41" s="267">
        <f t="shared" si="33"/>
        <v>226</v>
      </c>
      <c r="AH41" s="267">
        <f t="shared" si="33"/>
        <v>85</v>
      </c>
      <c r="AI41" s="267">
        <f>SUM(AI36:AI40)</f>
        <v>26</v>
      </c>
      <c r="AJ41" s="267">
        <f>SUM(AJ36:AJ40)</f>
        <v>27</v>
      </c>
      <c r="AK41" s="267">
        <f>SUM(AK36:AK40)</f>
        <v>962</v>
      </c>
      <c r="AL41" s="267">
        <f>SUM(AL36:AL40)</f>
        <v>32</v>
      </c>
      <c r="AM41" s="267">
        <f>SUM(AM36:AM40)</f>
        <v>104</v>
      </c>
      <c r="AN41" s="270">
        <f t="shared" si="30"/>
        <v>3098</v>
      </c>
      <c r="AP41" s="8">
        <f t="shared" si="6"/>
      </c>
    </row>
    <row r="42" spans="1:42" s="8" customFormat="1" ht="22.5" customHeight="1" thickBot="1">
      <c r="A42" s="9"/>
      <c r="B42" s="646" t="s">
        <v>49</v>
      </c>
      <c r="C42" s="808" t="s">
        <v>31</v>
      </c>
      <c r="D42" s="809"/>
      <c r="E42" s="115">
        <f t="shared" si="28"/>
        <v>1427</v>
      </c>
      <c r="F42" s="85">
        <f t="shared" si="28"/>
        <v>1456</v>
      </c>
      <c r="G42" s="85">
        <f t="shared" si="28"/>
        <v>556</v>
      </c>
      <c r="H42" s="87">
        <f t="shared" si="28"/>
        <v>929</v>
      </c>
      <c r="I42" s="87">
        <f t="shared" si="28"/>
        <v>741</v>
      </c>
      <c r="J42" s="87">
        <f t="shared" si="28"/>
        <v>296</v>
      </c>
      <c r="K42" s="87">
        <f>W42+AI42</f>
        <v>192</v>
      </c>
      <c r="L42" s="87">
        <f t="shared" si="26"/>
        <v>64</v>
      </c>
      <c r="M42" s="87">
        <f>Y42+AK42</f>
        <v>2042</v>
      </c>
      <c r="N42" s="87">
        <f>Z42+AL42</f>
        <v>45</v>
      </c>
      <c r="O42" s="88">
        <f>AA42+AM42</f>
        <v>42</v>
      </c>
      <c r="P42" s="89">
        <f t="shared" si="3"/>
        <v>7790</v>
      </c>
      <c r="Q42" s="395">
        <v>417</v>
      </c>
      <c r="R42" s="397">
        <v>435</v>
      </c>
      <c r="S42" s="381">
        <v>91</v>
      </c>
      <c r="T42" s="412">
        <v>153</v>
      </c>
      <c r="U42" s="412">
        <v>103</v>
      </c>
      <c r="V42" s="412">
        <v>116</v>
      </c>
      <c r="W42" s="412">
        <v>72</v>
      </c>
      <c r="X42" s="412">
        <v>23</v>
      </c>
      <c r="Y42" s="412">
        <v>725</v>
      </c>
      <c r="Z42" s="413">
        <v>16</v>
      </c>
      <c r="AA42" s="413">
        <v>15</v>
      </c>
      <c r="AB42" s="276">
        <f t="shared" si="4"/>
        <v>2166</v>
      </c>
      <c r="AC42" s="395">
        <v>1010</v>
      </c>
      <c r="AD42" s="397">
        <v>1021</v>
      </c>
      <c r="AE42" s="381">
        <v>465</v>
      </c>
      <c r="AF42" s="412">
        <v>776</v>
      </c>
      <c r="AG42" s="412">
        <v>638</v>
      </c>
      <c r="AH42" s="412">
        <v>180</v>
      </c>
      <c r="AI42" s="412">
        <v>120</v>
      </c>
      <c r="AJ42" s="412">
        <v>41</v>
      </c>
      <c r="AK42" s="412">
        <v>1317</v>
      </c>
      <c r="AL42" s="412">
        <v>29</v>
      </c>
      <c r="AM42" s="414">
        <v>27</v>
      </c>
      <c r="AN42" s="277">
        <f t="shared" si="30"/>
        <v>5624</v>
      </c>
      <c r="AP42" s="8">
        <f>IF(AB42+AN42=P42,"","ｴﾗｰ")</f>
      </c>
    </row>
    <row r="43" spans="1:42" s="8" customFormat="1" ht="22.5" customHeight="1" thickBot="1" thickTop="1">
      <c r="A43" s="9"/>
      <c r="B43" s="648"/>
      <c r="C43" s="806" t="s">
        <v>7</v>
      </c>
      <c r="D43" s="807"/>
      <c r="E43" s="106">
        <f>E42</f>
        <v>1427</v>
      </c>
      <c r="F43" s="48">
        <f aca="true" t="shared" si="34" ref="F43:K43">F42</f>
        <v>1456</v>
      </c>
      <c r="G43" s="48">
        <f t="shared" si="34"/>
        <v>556</v>
      </c>
      <c r="H43" s="48">
        <f t="shared" si="34"/>
        <v>929</v>
      </c>
      <c r="I43" s="48">
        <f t="shared" si="34"/>
        <v>741</v>
      </c>
      <c r="J43" s="48">
        <f t="shared" si="34"/>
        <v>296</v>
      </c>
      <c r="K43" s="48">
        <f t="shared" si="34"/>
        <v>192</v>
      </c>
      <c r="L43" s="48">
        <f t="shared" si="26"/>
        <v>64</v>
      </c>
      <c r="M43" s="48">
        <f>M42</f>
        <v>2042</v>
      </c>
      <c r="N43" s="48">
        <f>N42</f>
        <v>45</v>
      </c>
      <c r="O43" s="74">
        <f>O42</f>
        <v>42</v>
      </c>
      <c r="P43" s="57">
        <f t="shared" si="3"/>
        <v>7790</v>
      </c>
      <c r="Q43" s="265">
        <f aca="true" t="shared" si="35" ref="Q43:AN43">Q42</f>
        <v>417</v>
      </c>
      <c r="R43" s="282">
        <f t="shared" si="35"/>
        <v>435</v>
      </c>
      <c r="S43" s="282">
        <f t="shared" si="35"/>
        <v>91</v>
      </c>
      <c r="T43" s="282">
        <f t="shared" si="35"/>
        <v>153</v>
      </c>
      <c r="U43" s="282">
        <f t="shared" si="35"/>
        <v>103</v>
      </c>
      <c r="V43" s="282">
        <f t="shared" si="35"/>
        <v>116</v>
      </c>
      <c r="W43" s="282">
        <f t="shared" si="35"/>
        <v>72</v>
      </c>
      <c r="X43" s="282">
        <f t="shared" si="35"/>
        <v>23</v>
      </c>
      <c r="Y43" s="282">
        <f t="shared" si="35"/>
        <v>725</v>
      </c>
      <c r="Z43" s="282">
        <f t="shared" si="35"/>
        <v>16</v>
      </c>
      <c r="AA43" s="282">
        <f t="shared" si="35"/>
        <v>15</v>
      </c>
      <c r="AB43" s="269">
        <f t="shared" si="35"/>
        <v>2166</v>
      </c>
      <c r="AC43" s="265">
        <f t="shared" si="35"/>
        <v>1010</v>
      </c>
      <c r="AD43" s="282">
        <f t="shared" si="35"/>
        <v>1021</v>
      </c>
      <c r="AE43" s="282">
        <f t="shared" si="35"/>
        <v>465</v>
      </c>
      <c r="AF43" s="282">
        <f t="shared" si="35"/>
        <v>776</v>
      </c>
      <c r="AG43" s="282">
        <f t="shared" si="35"/>
        <v>638</v>
      </c>
      <c r="AH43" s="282">
        <f t="shared" si="35"/>
        <v>180</v>
      </c>
      <c r="AI43" s="282">
        <f t="shared" si="35"/>
        <v>120</v>
      </c>
      <c r="AJ43" s="282">
        <f t="shared" si="35"/>
        <v>41</v>
      </c>
      <c r="AK43" s="282">
        <f t="shared" si="35"/>
        <v>1317</v>
      </c>
      <c r="AL43" s="282">
        <f t="shared" si="35"/>
        <v>29</v>
      </c>
      <c r="AM43" s="282">
        <f t="shared" si="35"/>
        <v>27</v>
      </c>
      <c r="AN43" s="270">
        <f t="shared" si="35"/>
        <v>5624</v>
      </c>
      <c r="AP43" s="8">
        <f t="shared" si="6"/>
      </c>
    </row>
    <row r="44" spans="1:42" s="8" customFormat="1" ht="22.5" customHeight="1">
      <c r="A44" s="9"/>
      <c r="B44" s="646" t="s">
        <v>48</v>
      </c>
      <c r="C44" s="800" t="s">
        <v>30</v>
      </c>
      <c r="D44" s="801"/>
      <c r="E44" s="105">
        <f aca="true" t="shared" si="36" ref="E44:K45">Q44+AC44</f>
        <v>1374</v>
      </c>
      <c r="F44" s="42">
        <f t="shared" si="36"/>
        <v>1353</v>
      </c>
      <c r="G44" s="42">
        <f t="shared" si="36"/>
        <v>432</v>
      </c>
      <c r="H44" s="44">
        <f t="shared" si="36"/>
        <v>798</v>
      </c>
      <c r="I44" s="44">
        <f t="shared" si="36"/>
        <v>533</v>
      </c>
      <c r="J44" s="44">
        <f t="shared" si="36"/>
        <v>299</v>
      </c>
      <c r="K44" s="44">
        <f t="shared" si="36"/>
        <v>104</v>
      </c>
      <c r="L44" s="44">
        <f t="shared" si="26"/>
        <v>51</v>
      </c>
      <c r="M44" s="44">
        <f aca="true" t="shared" si="37" ref="M44:O45">Y44+AK44</f>
        <v>2125</v>
      </c>
      <c r="N44" s="44">
        <f t="shared" si="37"/>
        <v>75</v>
      </c>
      <c r="O44" s="46">
        <f t="shared" si="37"/>
        <v>21</v>
      </c>
      <c r="P44" s="67">
        <f t="shared" si="3"/>
        <v>7165</v>
      </c>
      <c r="Q44" s="375">
        <v>319</v>
      </c>
      <c r="R44" s="376">
        <v>327</v>
      </c>
      <c r="S44" s="376">
        <v>62</v>
      </c>
      <c r="T44" s="377">
        <v>124</v>
      </c>
      <c r="U44" s="377">
        <v>84</v>
      </c>
      <c r="V44" s="377">
        <v>69</v>
      </c>
      <c r="W44" s="377">
        <v>40</v>
      </c>
      <c r="X44" s="377">
        <v>16</v>
      </c>
      <c r="Y44" s="377">
        <v>607</v>
      </c>
      <c r="Z44" s="378">
        <v>19</v>
      </c>
      <c r="AA44" s="378">
        <v>10</v>
      </c>
      <c r="AB44" s="271">
        <f t="shared" si="4"/>
        <v>1677</v>
      </c>
      <c r="AC44" s="375">
        <v>1055</v>
      </c>
      <c r="AD44" s="376">
        <v>1026</v>
      </c>
      <c r="AE44" s="376">
        <v>370</v>
      </c>
      <c r="AF44" s="377">
        <v>674</v>
      </c>
      <c r="AG44" s="377">
        <v>449</v>
      </c>
      <c r="AH44" s="377">
        <v>230</v>
      </c>
      <c r="AI44" s="377">
        <v>64</v>
      </c>
      <c r="AJ44" s="377">
        <v>35</v>
      </c>
      <c r="AK44" s="377">
        <v>1518</v>
      </c>
      <c r="AL44" s="377">
        <v>56</v>
      </c>
      <c r="AM44" s="407">
        <v>11</v>
      </c>
      <c r="AN44" s="264">
        <f>SUM(AC44:AM44)</f>
        <v>5488</v>
      </c>
      <c r="AP44" s="8">
        <f t="shared" si="6"/>
      </c>
    </row>
    <row r="45" spans="1:42" s="8" customFormat="1" ht="22.5" customHeight="1" thickBot="1">
      <c r="A45" s="9"/>
      <c r="B45" s="647"/>
      <c r="C45" s="804" t="s">
        <v>68</v>
      </c>
      <c r="D45" s="805"/>
      <c r="E45" s="115">
        <f t="shared" si="36"/>
        <v>447</v>
      </c>
      <c r="F45" s="85">
        <f t="shared" si="36"/>
        <v>429</v>
      </c>
      <c r="G45" s="85">
        <f t="shared" si="36"/>
        <v>185</v>
      </c>
      <c r="H45" s="87">
        <f t="shared" si="36"/>
        <v>266</v>
      </c>
      <c r="I45" s="87">
        <f t="shared" si="36"/>
        <v>187</v>
      </c>
      <c r="J45" s="87">
        <f t="shared" si="36"/>
        <v>90</v>
      </c>
      <c r="K45" s="87">
        <f t="shared" si="36"/>
        <v>42</v>
      </c>
      <c r="L45" s="87">
        <f t="shared" si="26"/>
        <v>10</v>
      </c>
      <c r="M45" s="87">
        <f t="shared" si="37"/>
        <v>506</v>
      </c>
      <c r="N45" s="87">
        <f t="shared" si="37"/>
        <v>14</v>
      </c>
      <c r="O45" s="88">
        <f t="shared" si="37"/>
        <v>82</v>
      </c>
      <c r="P45" s="66">
        <f t="shared" si="3"/>
        <v>2258</v>
      </c>
      <c r="Q45" s="388">
        <v>120</v>
      </c>
      <c r="R45" s="389">
        <v>114</v>
      </c>
      <c r="S45" s="385">
        <v>35</v>
      </c>
      <c r="T45" s="405">
        <v>45</v>
      </c>
      <c r="U45" s="405">
        <v>24</v>
      </c>
      <c r="V45" s="405">
        <v>22</v>
      </c>
      <c r="W45" s="405">
        <v>16</v>
      </c>
      <c r="X45" s="405">
        <v>2</v>
      </c>
      <c r="Y45" s="405">
        <v>178</v>
      </c>
      <c r="Z45" s="406">
        <v>2</v>
      </c>
      <c r="AA45" s="406">
        <v>29</v>
      </c>
      <c r="AB45" s="276">
        <f t="shared" si="4"/>
        <v>587</v>
      </c>
      <c r="AC45" s="388">
        <v>327</v>
      </c>
      <c r="AD45" s="389">
        <v>315</v>
      </c>
      <c r="AE45" s="385">
        <v>150</v>
      </c>
      <c r="AF45" s="405">
        <v>221</v>
      </c>
      <c r="AG45" s="405">
        <v>163</v>
      </c>
      <c r="AH45" s="405">
        <v>68</v>
      </c>
      <c r="AI45" s="405">
        <v>26</v>
      </c>
      <c r="AJ45" s="405">
        <v>8</v>
      </c>
      <c r="AK45" s="405">
        <v>328</v>
      </c>
      <c r="AL45" s="405">
        <v>12</v>
      </c>
      <c r="AM45" s="408">
        <v>53</v>
      </c>
      <c r="AN45" s="277">
        <f>SUM(AC45:AM45)</f>
        <v>1671</v>
      </c>
      <c r="AP45" s="8">
        <f t="shared" si="6"/>
      </c>
    </row>
    <row r="46" spans="1:42" s="8" customFormat="1" ht="22.5" customHeight="1" thickBot="1" thickTop="1">
      <c r="A46" s="9"/>
      <c r="B46" s="648"/>
      <c r="C46" s="806" t="s">
        <v>7</v>
      </c>
      <c r="D46" s="807"/>
      <c r="E46" s="112">
        <f aca="true" t="shared" si="38" ref="E46:O46">SUM(E44:E45)</f>
        <v>1821</v>
      </c>
      <c r="F46" s="69">
        <f t="shared" si="38"/>
        <v>1782</v>
      </c>
      <c r="G46" s="69">
        <f t="shared" si="38"/>
        <v>617</v>
      </c>
      <c r="H46" s="69">
        <f t="shared" si="38"/>
        <v>1064</v>
      </c>
      <c r="I46" s="69">
        <f t="shared" si="38"/>
        <v>720</v>
      </c>
      <c r="J46" s="69">
        <f t="shared" si="38"/>
        <v>389</v>
      </c>
      <c r="K46" s="69">
        <f t="shared" si="38"/>
        <v>146</v>
      </c>
      <c r="L46" s="69">
        <f t="shared" si="26"/>
        <v>61</v>
      </c>
      <c r="M46" s="69">
        <f t="shared" si="38"/>
        <v>2631</v>
      </c>
      <c r="N46" s="69">
        <f t="shared" si="38"/>
        <v>89</v>
      </c>
      <c r="O46" s="83">
        <f t="shared" si="38"/>
        <v>103</v>
      </c>
      <c r="P46" s="57">
        <f t="shared" si="3"/>
        <v>9423</v>
      </c>
      <c r="Q46" s="265">
        <f aca="true" t="shared" si="39" ref="Q46:AN46">SUM(Q44:Q45)</f>
        <v>439</v>
      </c>
      <c r="R46" s="282">
        <f t="shared" si="39"/>
        <v>441</v>
      </c>
      <c r="S46" s="282">
        <f t="shared" si="39"/>
        <v>97</v>
      </c>
      <c r="T46" s="282">
        <f t="shared" si="39"/>
        <v>169</v>
      </c>
      <c r="U46" s="282">
        <f t="shared" si="39"/>
        <v>108</v>
      </c>
      <c r="V46" s="282">
        <f t="shared" si="39"/>
        <v>91</v>
      </c>
      <c r="W46" s="282">
        <f t="shared" si="39"/>
        <v>56</v>
      </c>
      <c r="X46" s="282">
        <f t="shared" si="39"/>
        <v>18</v>
      </c>
      <c r="Y46" s="282">
        <f t="shared" si="39"/>
        <v>785</v>
      </c>
      <c r="Z46" s="282">
        <f t="shared" si="39"/>
        <v>21</v>
      </c>
      <c r="AA46" s="282">
        <f t="shared" si="39"/>
        <v>39</v>
      </c>
      <c r="AB46" s="269">
        <f t="shared" si="39"/>
        <v>2264</v>
      </c>
      <c r="AC46" s="265">
        <f t="shared" si="39"/>
        <v>1382</v>
      </c>
      <c r="AD46" s="282">
        <f t="shared" si="39"/>
        <v>1341</v>
      </c>
      <c r="AE46" s="282">
        <f t="shared" si="39"/>
        <v>520</v>
      </c>
      <c r="AF46" s="282">
        <f t="shared" si="39"/>
        <v>895</v>
      </c>
      <c r="AG46" s="282">
        <f t="shared" si="39"/>
        <v>612</v>
      </c>
      <c r="AH46" s="290">
        <f t="shared" si="39"/>
        <v>298</v>
      </c>
      <c r="AI46" s="282">
        <f t="shared" si="39"/>
        <v>90</v>
      </c>
      <c r="AJ46" s="282">
        <f t="shared" si="39"/>
        <v>43</v>
      </c>
      <c r="AK46" s="282">
        <f t="shared" si="39"/>
        <v>1846</v>
      </c>
      <c r="AL46" s="282">
        <f t="shared" si="39"/>
        <v>68</v>
      </c>
      <c r="AM46" s="282">
        <f t="shared" si="39"/>
        <v>64</v>
      </c>
      <c r="AN46" s="270">
        <f t="shared" si="39"/>
        <v>7159</v>
      </c>
      <c r="AP46" s="8">
        <f t="shared" si="6"/>
      </c>
    </row>
    <row r="47" spans="1:42" s="8" customFormat="1" ht="22.5" customHeight="1">
      <c r="A47" s="9"/>
      <c r="B47" s="655" t="s">
        <v>50</v>
      </c>
      <c r="C47" s="800" t="s">
        <v>32</v>
      </c>
      <c r="D47" s="801"/>
      <c r="E47" s="105">
        <f aca="true" t="shared" si="40" ref="E47:K52">Q47+AC47</f>
        <v>747</v>
      </c>
      <c r="F47" s="42">
        <f t="shared" si="40"/>
        <v>725</v>
      </c>
      <c r="G47" s="42">
        <f t="shared" si="40"/>
        <v>242</v>
      </c>
      <c r="H47" s="44">
        <f t="shared" si="40"/>
        <v>474</v>
      </c>
      <c r="I47" s="44">
        <f t="shared" si="40"/>
        <v>348</v>
      </c>
      <c r="J47" s="44">
        <f t="shared" si="40"/>
        <v>154</v>
      </c>
      <c r="K47" s="44">
        <f t="shared" si="40"/>
        <v>76</v>
      </c>
      <c r="L47" s="44">
        <f t="shared" si="26"/>
        <v>37</v>
      </c>
      <c r="M47" s="44">
        <f aca="true" t="shared" si="41" ref="M47:O52">Y47+AK47</f>
        <v>720</v>
      </c>
      <c r="N47" s="44">
        <f t="shared" si="41"/>
        <v>36</v>
      </c>
      <c r="O47" s="46">
        <f t="shared" si="41"/>
        <v>11</v>
      </c>
      <c r="P47" s="67">
        <f t="shared" si="3"/>
        <v>3570</v>
      </c>
      <c r="Q47" s="375">
        <v>198</v>
      </c>
      <c r="R47" s="376">
        <v>202</v>
      </c>
      <c r="S47" s="376">
        <v>47</v>
      </c>
      <c r="T47" s="377">
        <v>79</v>
      </c>
      <c r="U47" s="377">
        <v>48</v>
      </c>
      <c r="V47" s="377">
        <v>47</v>
      </c>
      <c r="W47" s="377">
        <v>36</v>
      </c>
      <c r="X47" s="377">
        <v>12</v>
      </c>
      <c r="Y47" s="377">
        <v>225</v>
      </c>
      <c r="Z47" s="378">
        <v>7</v>
      </c>
      <c r="AA47" s="378">
        <v>3</v>
      </c>
      <c r="AB47" s="271">
        <f t="shared" si="4"/>
        <v>904</v>
      </c>
      <c r="AC47" s="375">
        <v>549</v>
      </c>
      <c r="AD47" s="376">
        <v>523</v>
      </c>
      <c r="AE47" s="376">
        <v>195</v>
      </c>
      <c r="AF47" s="377">
        <v>395</v>
      </c>
      <c r="AG47" s="377">
        <v>300</v>
      </c>
      <c r="AH47" s="376">
        <v>107</v>
      </c>
      <c r="AI47" s="377">
        <v>40</v>
      </c>
      <c r="AJ47" s="377">
        <v>25</v>
      </c>
      <c r="AK47" s="377">
        <v>495</v>
      </c>
      <c r="AL47" s="377">
        <v>29</v>
      </c>
      <c r="AM47" s="407">
        <v>8</v>
      </c>
      <c r="AN47" s="264">
        <f aca="true" t="shared" si="42" ref="AN47:AN53">SUM(AC47:AM47)</f>
        <v>2666</v>
      </c>
      <c r="AP47" s="8">
        <f t="shared" si="6"/>
      </c>
    </row>
    <row r="48" spans="1:42" s="8" customFormat="1" ht="22.5" customHeight="1">
      <c r="A48" s="9"/>
      <c r="B48" s="651"/>
      <c r="C48" s="802" t="s">
        <v>33</v>
      </c>
      <c r="D48" s="803"/>
      <c r="E48" s="109">
        <f t="shared" si="40"/>
        <v>90</v>
      </c>
      <c r="F48" s="59">
        <f t="shared" si="40"/>
        <v>95</v>
      </c>
      <c r="G48" s="59">
        <f t="shared" si="40"/>
        <v>28</v>
      </c>
      <c r="H48" s="61">
        <f t="shared" si="40"/>
        <v>66</v>
      </c>
      <c r="I48" s="61">
        <f t="shared" si="40"/>
        <v>38</v>
      </c>
      <c r="J48" s="61">
        <f t="shared" si="40"/>
        <v>14</v>
      </c>
      <c r="K48" s="61">
        <f t="shared" si="40"/>
        <v>14</v>
      </c>
      <c r="L48" s="61">
        <f t="shared" si="26"/>
        <v>4</v>
      </c>
      <c r="M48" s="61">
        <f t="shared" si="41"/>
        <v>82</v>
      </c>
      <c r="N48" s="61">
        <f t="shared" si="41"/>
        <v>5</v>
      </c>
      <c r="O48" s="73">
        <f t="shared" si="41"/>
        <v>16</v>
      </c>
      <c r="P48" s="62">
        <f t="shared" si="3"/>
        <v>452</v>
      </c>
      <c r="Q48" s="384">
        <v>19</v>
      </c>
      <c r="R48" s="385">
        <v>24</v>
      </c>
      <c r="S48" s="385">
        <v>6</v>
      </c>
      <c r="T48" s="386">
        <v>10</v>
      </c>
      <c r="U48" s="386">
        <v>5</v>
      </c>
      <c r="V48" s="386">
        <v>3</v>
      </c>
      <c r="W48" s="386">
        <v>2</v>
      </c>
      <c r="X48" s="386">
        <v>2</v>
      </c>
      <c r="Y48" s="386">
        <v>33</v>
      </c>
      <c r="Z48" s="387">
        <v>2</v>
      </c>
      <c r="AA48" s="387">
        <v>5</v>
      </c>
      <c r="AB48" s="271">
        <f t="shared" si="4"/>
        <v>111</v>
      </c>
      <c r="AC48" s="384">
        <v>71</v>
      </c>
      <c r="AD48" s="385">
        <v>71</v>
      </c>
      <c r="AE48" s="385">
        <v>22</v>
      </c>
      <c r="AF48" s="386">
        <v>56</v>
      </c>
      <c r="AG48" s="386">
        <v>33</v>
      </c>
      <c r="AH48" s="385">
        <v>11</v>
      </c>
      <c r="AI48" s="386">
        <v>12</v>
      </c>
      <c r="AJ48" s="386">
        <v>2</v>
      </c>
      <c r="AK48" s="386">
        <v>49</v>
      </c>
      <c r="AL48" s="386">
        <v>3</v>
      </c>
      <c r="AM48" s="393">
        <v>11</v>
      </c>
      <c r="AN48" s="264">
        <f t="shared" si="42"/>
        <v>341</v>
      </c>
      <c r="AP48" s="8">
        <f t="shared" si="6"/>
      </c>
    </row>
    <row r="49" spans="1:42" s="8" customFormat="1" ht="22.5" customHeight="1">
      <c r="A49" s="9"/>
      <c r="B49" s="651"/>
      <c r="C49" s="802" t="s">
        <v>34</v>
      </c>
      <c r="D49" s="803"/>
      <c r="E49" s="109">
        <f t="shared" si="40"/>
        <v>81</v>
      </c>
      <c r="F49" s="59">
        <f t="shared" si="40"/>
        <v>97</v>
      </c>
      <c r="G49" s="59">
        <f t="shared" si="40"/>
        <v>33</v>
      </c>
      <c r="H49" s="61">
        <f t="shared" si="40"/>
        <v>75</v>
      </c>
      <c r="I49" s="61">
        <f t="shared" si="40"/>
        <v>57</v>
      </c>
      <c r="J49" s="61">
        <f t="shared" si="40"/>
        <v>25</v>
      </c>
      <c r="K49" s="61">
        <f t="shared" si="40"/>
        <v>8</v>
      </c>
      <c r="L49" s="61">
        <f t="shared" si="26"/>
        <v>6</v>
      </c>
      <c r="M49" s="61">
        <f t="shared" si="41"/>
        <v>75</v>
      </c>
      <c r="N49" s="61">
        <f t="shared" si="41"/>
        <v>0</v>
      </c>
      <c r="O49" s="73">
        <f t="shared" si="41"/>
        <v>5</v>
      </c>
      <c r="P49" s="62">
        <f t="shared" si="3"/>
        <v>462</v>
      </c>
      <c r="Q49" s="384">
        <v>30</v>
      </c>
      <c r="R49" s="385">
        <v>40</v>
      </c>
      <c r="S49" s="385">
        <v>10</v>
      </c>
      <c r="T49" s="386">
        <v>19</v>
      </c>
      <c r="U49" s="386">
        <v>13</v>
      </c>
      <c r="V49" s="386">
        <v>8</v>
      </c>
      <c r="W49" s="386">
        <v>3</v>
      </c>
      <c r="X49" s="386">
        <v>4</v>
      </c>
      <c r="Y49" s="386">
        <v>31</v>
      </c>
      <c r="Z49" s="387">
        <v>0</v>
      </c>
      <c r="AA49" s="387">
        <v>2</v>
      </c>
      <c r="AB49" s="271">
        <f t="shared" si="4"/>
        <v>160</v>
      </c>
      <c r="AC49" s="384">
        <v>51</v>
      </c>
      <c r="AD49" s="385">
        <v>57</v>
      </c>
      <c r="AE49" s="385">
        <v>23</v>
      </c>
      <c r="AF49" s="386">
        <v>56</v>
      </c>
      <c r="AG49" s="386">
        <v>44</v>
      </c>
      <c r="AH49" s="385">
        <v>17</v>
      </c>
      <c r="AI49" s="386">
        <v>5</v>
      </c>
      <c r="AJ49" s="386">
        <v>2</v>
      </c>
      <c r="AK49" s="386">
        <v>44</v>
      </c>
      <c r="AL49" s="386">
        <v>0</v>
      </c>
      <c r="AM49" s="393">
        <v>3</v>
      </c>
      <c r="AN49" s="264">
        <f t="shared" si="42"/>
        <v>302</v>
      </c>
      <c r="AP49" s="8">
        <f t="shared" si="6"/>
      </c>
    </row>
    <row r="50" spans="1:42" s="8" customFormat="1" ht="22.5" customHeight="1">
      <c r="A50" s="9"/>
      <c r="B50" s="651"/>
      <c r="C50" s="802" t="s">
        <v>35</v>
      </c>
      <c r="D50" s="803"/>
      <c r="E50" s="109">
        <f t="shared" si="40"/>
        <v>82</v>
      </c>
      <c r="F50" s="59">
        <f t="shared" si="40"/>
        <v>72</v>
      </c>
      <c r="G50" s="59">
        <f t="shared" si="40"/>
        <v>29</v>
      </c>
      <c r="H50" s="61">
        <f t="shared" si="40"/>
        <v>43</v>
      </c>
      <c r="I50" s="61">
        <f t="shared" si="40"/>
        <v>37</v>
      </c>
      <c r="J50" s="61">
        <f t="shared" si="40"/>
        <v>19</v>
      </c>
      <c r="K50" s="61">
        <f t="shared" si="40"/>
        <v>3</v>
      </c>
      <c r="L50" s="61">
        <f t="shared" si="26"/>
        <v>1</v>
      </c>
      <c r="M50" s="61">
        <f t="shared" si="41"/>
        <v>112</v>
      </c>
      <c r="N50" s="61">
        <f t="shared" si="41"/>
        <v>2</v>
      </c>
      <c r="O50" s="73">
        <f t="shared" si="41"/>
        <v>0</v>
      </c>
      <c r="P50" s="62">
        <f t="shared" si="3"/>
        <v>400</v>
      </c>
      <c r="Q50" s="384">
        <v>25</v>
      </c>
      <c r="R50" s="385">
        <v>23</v>
      </c>
      <c r="S50" s="385">
        <v>5</v>
      </c>
      <c r="T50" s="386">
        <v>12</v>
      </c>
      <c r="U50" s="386">
        <v>10</v>
      </c>
      <c r="V50" s="386">
        <v>9</v>
      </c>
      <c r="W50" s="386">
        <v>1</v>
      </c>
      <c r="X50" s="386">
        <v>0</v>
      </c>
      <c r="Y50" s="386">
        <v>45</v>
      </c>
      <c r="Z50" s="387">
        <v>0</v>
      </c>
      <c r="AA50" s="387">
        <v>0</v>
      </c>
      <c r="AB50" s="271">
        <f t="shared" si="4"/>
        <v>130</v>
      </c>
      <c r="AC50" s="384">
        <v>57</v>
      </c>
      <c r="AD50" s="385">
        <v>49</v>
      </c>
      <c r="AE50" s="385">
        <v>24</v>
      </c>
      <c r="AF50" s="386">
        <v>31</v>
      </c>
      <c r="AG50" s="386">
        <v>27</v>
      </c>
      <c r="AH50" s="385">
        <v>10</v>
      </c>
      <c r="AI50" s="386">
        <v>2</v>
      </c>
      <c r="AJ50" s="386">
        <v>1</v>
      </c>
      <c r="AK50" s="386">
        <v>67</v>
      </c>
      <c r="AL50" s="386">
        <v>2</v>
      </c>
      <c r="AM50" s="393">
        <v>0</v>
      </c>
      <c r="AN50" s="264">
        <f t="shared" si="42"/>
        <v>270</v>
      </c>
      <c r="AP50" s="8">
        <f t="shared" si="6"/>
      </c>
    </row>
    <row r="51" spans="1:42" s="8" customFormat="1" ht="22.5" customHeight="1">
      <c r="A51" s="9"/>
      <c r="B51" s="651"/>
      <c r="C51" s="802" t="s">
        <v>36</v>
      </c>
      <c r="D51" s="803"/>
      <c r="E51" s="109">
        <f t="shared" si="40"/>
        <v>282</v>
      </c>
      <c r="F51" s="59">
        <f t="shared" si="40"/>
        <v>290</v>
      </c>
      <c r="G51" s="59">
        <f t="shared" si="40"/>
        <v>97</v>
      </c>
      <c r="H51" s="61">
        <f t="shared" si="40"/>
        <v>235</v>
      </c>
      <c r="I51" s="61">
        <f t="shared" si="40"/>
        <v>176</v>
      </c>
      <c r="J51" s="61">
        <f t="shared" si="40"/>
        <v>64</v>
      </c>
      <c r="K51" s="61">
        <f t="shared" si="40"/>
        <v>45</v>
      </c>
      <c r="L51" s="61">
        <f t="shared" si="26"/>
        <v>20</v>
      </c>
      <c r="M51" s="61">
        <f t="shared" si="41"/>
        <v>304</v>
      </c>
      <c r="N51" s="61">
        <f t="shared" si="41"/>
        <v>6</v>
      </c>
      <c r="O51" s="73">
        <f t="shared" si="41"/>
        <v>30</v>
      </c>
      <c r="P51" s="62">
        <f t="shared" si="3"/>
        <v>1549</v>
      </c>
      <c r="Q51" s="384">
        <v>84</v>
      </c>
      <c r="R51" s="385">
        <v>90</v>
      </c>
      <c r="S51" s="385">
        <v>19</v>
      </c>
      <c r="T51" s="386">
        <v>45</v>
      </c>
      <c r="U51" s="386">
        <v>31</v>
      </c>
      <c r="V51" s="386">
        <v>20</v>
      </c>
      <c r="W51" s="386">
        <v>21</v>
      </c>
      <c r="X51" s="386">
        <v>9</v>
      </c>
      <c r="Y51" s="386">
        <v>123</v>
      </c>
      <c r="Z51" s="387">
        <v>3</v>
      </c>
      <c r="AA51" s="387">
        <v>9</v>
      </c>
      <c r="AB51" s="271">
        <f>SUM(Q51:AA51)</f>
        <v>454</v>
      </c>
      <c r="AC51" s="384">
        <v>198</v>
      </c>
      <c r="AD51" s="385">
        <v>200</v>
      </c>
      <c r="AE51" s="385">
        <v>78</v>
      </c>
      <c r="AF51" s="386">
        <v>190</v>
      </c>
      <c r="AG51" s="386">
        <v>145</v>
      </c>
      <c r="AH51" s="385">
        <v>44</v>
      </c>
      <c r="AI51" s="386">
        <v>24</v>
      </c>
      <c r="AJ51" s="386">
        <v>11</v>
      </c>
      <c r="AK51" s="386">
        <v>181</v>
      </c>
      <c r="AL51" s="386">
        <v>3</v>
      </c>
      <c r="AM51" s="393">
        <v>21</v>
      </c>
      <c r="AN51" s="264">
        <f t="shared" si="42"/>
        <v>1095</v>
      </c>
      <c r="AP51" s="8">
        <f t="shared" si="6"/>
      </c>
    </row>
    <row r="52" spans="2:42" s="9" customFormat="1" ht="22.5" customHeight="1" thickBot="1">
      <c r="B52" s="651"/>
      <c r="C52" s="804" t="s">
        <v>37</v>
      </c>
      <c r="D52" s="805"/>
      <c r="E52" s="110">
        <f t="shared" si="40"/>
        <v>169</v>
      </c>
      <c r="F52" s="64">
        <f t="shared" si="40"/>
        <v>174</v>
      </c>
      <c r="G52" s="64">
        <f t="shared" si="40"/>
        <v>70</v>
      </c>
      <c r="H52" s="55">
        <f t="shared" si="40"/>
        <v>136</v>
      </c>
      <c r="I52" s="55">
        <f t="shared" si="40"/>
        <v>92</v>
      </c>
      <c r="J52" s="76">
        <f t="shared" si="40"/>
        <v>43</v>
      </c>
      <c r="K52" s="76">
        <f t="shared" si="40"/>
        <v>24</v>
      </c>
      <c r="L52" s="76">
        <f t="shared" si="26"/>
        <v>12</v>
      </c>
      <c r="M52" s="76">
        <f t="shared" si="41"/>
        <v>185</v>
      </c>
      <c r="N52" s="76">
        <f t="shared" si="41"/>
        <v>5</v>
      </c>
      <c r="O52" s="77">
        <f t="shared" si="41"/>
        <v>18</v>
      </c>
      <c r="P52" s="81">
        <f t="shared" si="3"/>
        <v>928</v>
      </c>
      <c r="Q52" s="388">
        <v>53</v>
      </c>
      <c r="R52" s="389">
        <v>51</v>
      </c>
      <c r="S52" s="389">
        <v>15</v>
      </c>
      <c r="T52" s="390">
        <v>29</v>
      </c>
      <c r="U52" s="390">
        <v>11</v>
      </c>
      <c r="V52" s="390">
        <v>12</v>
      </c>
      <c r="W52" s="390">
        <v>11</v>
      </c>
      <c r="X52" s="390">
        <v>5</v>
      </c>
      <c r="Y52" s="390">
        <v>75</v>
      </c>
      <c r="Z52" s="391">
        <v>1</v>
      </c>
      <c r="AA52" s="391">
        <v>4</v>
      </c>
      <c r="AB52" s="276">
        <f>SUM(Q52:AA52)</f>
        <v>267</v>
      </c>
      <c r="AC52" s="388">
        <v>116</v>
      </c>
      <c r="AD52" s="389">
        <v>123</v>
      </c>
      <c r="AE52" s="389">
        <v>55</v>
      </c>
      <c r="AF52" s="390">
        <v>107</v>
      </c>
      <c r="AG52" s="390">
        <v>81</v>
      </c>
      <c r="AH52" s="415">
        <v>31</v>
      </c>
      <c r="AI52" s="390">
        <v>13</v>
      </c>
      <c r="AJ52" s="390">
        <v>7</v>
      </c>
      <c r="AK52" s="390">
        <v>110</v>
      </c>
      <c r="AL52" s="390">
        <v>4</v>
      </c>
      <c r="AM52" s="394">
        <v>14</v>
      </c>
      <c r="AN52" s="277">
        <f t="shared" si="42"/>
        <v>661</v>
      </c>
      <c r="AP52" s="8">
        <f t="shared" si="6"/>
      </c>
    </row>
    <row r="53" spans="1:42" s="8" customFormat="1" ht="22.5" customHeight="1" thickBot="1" thickTop="1">
      <c r="A53" s="9"/>
      <c r="B53" s="652"/>
      <c r="C53" s="806" t="s">
        <v>7</v>
      </c>
      <c r="D53" s="807"/>
      <c r="E53" s="106">
        <f>SUM(E47:E52)</f>
        <v>1451</v>
      </c>
      <c r="F53" s="48">
        <f aca="true" t="shared" si="43" ref="F53:K53">SUM(F47:F52)</f>
        <v>1453</v>
      </c>
      <c r="G53" s="48">
        <f t="shared" si="43"/>
        <v>499</v>
      </c>
      <c r="H53" s="50">
        <f t="shared" si="43"/>
        <v>1029</v>
      </c>
      <c r="I53" s="50">
        <f t="shared" si="43"/>
        <v>748</v>
      </c>
      <c r="J53" s="50">
        <f t="shared" si="43"/>
        <v>319</v>
      </c>
      <c r="K53" s="50">
        <f t="shared" si="43"/>
        <v>170</v>
      </c>
      <c r="L53" s="50">
        <f t="shared" si="26"/>
        <v>80</v>
      </c>
      <c r="M53" s="50">
        <f>SUM(M47:M52)</f>
        <v>1478</v>
      </c>
      <c r="N53" s="50">
        <f>SUM(N47:N52)</f>
        <v>54</v>
      </c>
      <c r="O53" s="51">
        <f>SUM(O47:O52)</f>
        <v>80</v>
      </c>
      <c r="P53" s="82">
        <f t="shared" si="3"/>
        <v>7361</v>
      </c>
      <c r="Q53" s="265">
        <f aca="true" t="shared" si="44" ref="Q53:AA53">SUM(Q47:Q52)</f>
        <v>409</v>
      </c>
      <c r="R53" s="266">
        <f t="shared" si="44"/>
        <v>430</v>
      </c>
      <c r="S53" s="266">
        <f t="shared" si="44"/>
        <v>102</v>
      </c>
      <c r="T53" s="267">
        <f t="shared" si="44"/>
        <v>194</v>
      </c>
      <c r="U53" s="267">
        <f t="shared" si="44"/>
        <v>118</v>
      </c>
      <c r="V53" s="267">
        <f>SUM(V47:V52)</f>
        <v>99</v>
      </c>
      <c r="W53" s="267">
        <f>SUM(W47:W52)</f>
        <v>74</v>
      </c>
      <c r="X53" s="267">
        <f>SUM(X47:X52)</f>
        <v>32</v>
      </c>
      <c r="Y53" s="267">
        <f>SUM(Y47:Y52)</f>
        <v>532</v>
      </c>
      <c r="Z53" s="267">
        <f>SUM(Z47:Z52)</f>
        <v>13</v>
      </c>
      <c r="AA53" s="268">
        <f t="shared" si="44"/>
        <v>23</v>
      </c>
      <c r="AB53" s="269">
        <f>SUM(Q53:AA53)</f>
        <v>2026</v>
      </c>
      <c r="AC53" s="265">
        <f aca="true" t="shared" si="45" ref="AC53:AM53">SUM(AC47:AC52)</f>
        <v>1042</v>
      </c>
      <c r="AD53" s="266">
        <f t="shared" si="45"/>
        <v>1023</v>
      </c>
      <c r="AE53" s="266">
        <f t="shared" si="45"/>
        <v>397</v>
      </c>
      <c r="AF53" s="291">
        <f t="shared" si="45"/>
        <v>835</v>
      </c>
      <c r="AG53" s="291">
        <f t="shared" si="45"/>
        <v>630</v>
      </c>
      <c r="AH53" s="291">
        <f>SUM(AH47:AH52)</f>
        <v>220</v>
      </c>
      <c r="AI53" s="291">
        <f>SUM(AI47:AI52)</f>
        <v>96</v>
      </c>
      <c r="AJ53" s="291">
        <f>SUM(AJ47:AJ52)</f>
        <v>48</v>
      </c>
      <c r="AK53" s="291">
        <f>SUM(AK47:AK52)</f>
        <v>946</v>
      </c>
      <c r="AL53" s="291">
        <f>SUM(AL47:AL52)</f>
        <v>41</v>
      </c>
      <c r="AM53" s="292">
        <f t="shared" si="45"/>
        <v>57</v>
      </c>
      <c r="AN53" s="270">
        <f t="shared" si="42"/>
        <v>5335</v>
      </c>
      <c r="AP53" s="8">
        <f t="shared" si="6"/>
      </c>
    </row>
    <row r="54" spans="2:42" s="9" customFormat="1" ht="22.5" customHeight="1">
      <c r="B54" s="464" t="s">
        <v>38</v>
      </c>
      <c r="C54" s="465"/>
      <c r="D54" s="466"/>
      <c r="E54" s="41">
        <f aca="true" t="shared" si="46" ref="E54:K54">SUM(E13,E9,E14,E17,E18,E20,E24,E36,E42,E44,E45,E47)</f>
        <v>13686</v>
      </c>
      <c r="F54" s="42">
        <f t="shared" si="46"/>
        <v>12357</v>
      </c>
      <c r="G54" s="42">
        <f t="shared" si="46"/>
        <v>4135</v>
      </c>
      <c r="H54" s="42">
        <f t="shared" si="46"/>
        <v>8061</v>
      </c>
      <c r="I54" s="42">
        <f t="shared" si="46"/>
        <v>5667</v>
      </c>
      <c r="J54" s="42">
        <f t="shared" si="46"/>
        <v>2193</v>
      </c>
      <c r="K54" s="52">
        <f t="shared" si="46"/>
        <v>1192</v>
      </c>
      <c r="L54" s="52">
        <f t="shared" si="26"/>
        <v>570</v>
      </c>
      <c r="M54" s="52">
        <f aca="true" t="shared" si="47" ref="M54:AN54">SUM(M13,M9,M14,M17,M18,M20,M24,M36,M42,M44,M45,M47)</f>
        <v>20906</v>
      </c>
      <c r="N54" s="52">
        <f t="shared" si="47"/>
        <v>704</v>
      </c>
      <c r="O54" s="256">
        <f t="shared" si="47"/>
        <v>892</v>
      </c>
      <c r="P54" s="257">
        <f t="shared" si="47"/>
        <v>70363</v>
      </c>
      <c r="Q54" s="293">
        <f t="shared" si="47"/>
        <v>3651</v>
      </c>
      <c r="R54" s="262">
        <f t="shared" si="47"/>
        <v>3355</v>
      </c>
      <c r="S54" s="262">
        <f t="shared" si="47"/>
        <v>727</v>
      </c>
      <c r="T54" s="262">
        <f t="shared" si="47"/>
        <v>1393</v>
      </c>
      <c r="U54" s="262">
        <f t="shared" si="47"/>
        <v>817</v>
      </c>
      <c r="V54" s="262">
        <f t="shared" si="47"/>
        <v>689</v>
      </c>
      <c r="W54" s="262">
        <f t="shared" si="47"/>
        <v>468</v>
      </c>
      <c r="X54" s="262">
        <f t="shared" si="47"/>
        <v>180</v>
      </c>
      <c r="Y54" s="262">
        <f t="shared" si="47"/>
        <v>6325</v>
      </c>
      <c r="Z54" s="262">
        <f t="shared" si="47"/>
        <v>198</v>
      </c>
      <c r="AA54" s="278">
        <f t="shared" si="47"/>
        <v>307</v>
      </c>
      <c r="AB54" s="294">
        <f t="shared" si="47"/>
        <v>18110</v>
      </c>
      <c r="AC54" s="261">
        <f t="shared" si="47"/>
        <v>10035</v>
      </c>
      <c r="AD54" s="262">
        <f t="shared" si="47"/>
        <v>9002</v>
      </c>
      <c r="AE54" s="262">
        <f t="shared" si="47"/>
        <v>3408</v>
      </c>
      <c r="AF54" s="295">
        <f t="shared" si="47"/>
        <v>6668</v>
      </c>
      <c r="AG54" s="295">
        <f t="shared" si="47"/>
        <v>4850</v>
      </c>
      <c r="AH54" s="295">
        <f t="shared" si="47"/>
        <v>1504</v>
      </c>
      <c r="AI54" s="295">
        <f t="shared" si="47"/>
        <v>724</v>
      </c>
      <c r="AJ54" s="295">
        <f t="shared" si="47"/>
        <v>390</v>
      </c>
      <c r="AK54" s="295">
        <f t="shared" si="47"/>
        <v>14581</v>
      </c>
      <c r="AL54" s="295">
        <f t="shared" si="47"/>
        <v>506</v>
      </c>
      <c r="AM54" s="295">
        <f t="shared" si="47"/>
        <v>585</v>
      </c>
      <c r="AN54" s="296">
        <f t="shared" si="47"/>
        <v>52253</v>
      </c>
      <c r="AP54" s="8">
        <f t="shared" si="6"/>
      </c>
    </row>
    <row r="55" spans="1:42" s="8" customFormat="1" ht="22.5" customHeight="1">
      <c r="A55" s="9"/>
      <c r="B55" s="467" t="s">
        <v>39</v>
      </c>
      <c r="C55" s="468"/>
      <c r="D55" s="469"/>
      <c r="E55" s="58">
        <f aca="true" t="shared" si="48" ref="E55:AN55">E10+E11+E15+E21+E22+E25+E26+E27+E29+E30+E31+E32+E33+E34+E37+E38+E39+E40+E48+E49+E50+E51+E52</f>
        <v>2529</v>
      </c>
      <c r="F55" s="59">
        <f t="shared" si="48"/>
        <v>2632</v>
      </c>
      <c r="G55" s="59">
        <f t="shared" si="48"/>
        <v>1001</v>
      </c>
      <c r="H55" s="59">
        <f t="shared" si="48"/>
        <v>1766</v>
      </c>
      <c r="I55" s="59">
        <f t="shared" si="48"/>
        <v>1159</v>
      </c>
      <c r="J55" s="59">
        <f t="shared" si="48"/>
        <v>478</v>
      </c>
      <c r="K55" s="59">
        <f t="shared" si="48"/>
        <v>286</v>
      </c>
      <c r="L55" s="59">
        <f t="shared" si="48"/>
        <v>126</v>
      </c>
      <c r="M55" s="59">
        <f t="shared" si="48"/>
        <v>3095</v>
      </c>
      <c r="N55" s="59">
        <f t="shared" si="48"/>
        <v>100</v>
      </c>
      <c r="O55" s="258">
        <f t="shared" si="48"/>
        <v>384</v>
      </c>
      <c r="P55" s="259">
        <f t="shared" si="48"/>
        <v>13556</v>
      </c>
      <c r="Q55" s="297">
        <f t="shared" si="48"/>
        <v>673</v>
      </c>
      <c r="R55" s="272">
        <f t="shared" si="48"/>
        <v>730</v>
      </c>
      <c r="S55" s="272">
        <f t="shared" si="48"/>
        <v>183</v>
      </c>
      <c r="T55" s="272">
        <f t="shared" si="48"/>
        <v>327</v>
      </c>
      <c r="U55" s="272">
        <f t="shared" si="48"/>
        <v>184</v>
      </c>
      <c r="V55" s="272">
        <f t="shared" si="48"/>
        <v>146</v>
      </c>
      <c r="W55" s="272">
        <f t="shared" si="48"/>
        <v>117</v>
      </c>
      <c r="X55" s="272">
        <f t="shared" si="48"/>
        <v>52</v>
      </c>
      <c r="Y55" s="272">
        <f t="shared" si="48"/>
        <v>1092</v>
      </c>
      <c r="Z55" s="272">
        <f t="shared" si="48"/>
        <v>39</v>
      </c>
      <c r="AA55" s="272">
        <f t="shared" si="48"/>
        <v>153</v>
      </c>
      <c r="AB55" s="298">
        <f t="shared" si="48"/>
        <v>3696</v>
      </c>
      <c r="AC55" s="297">
        <f t="shared" si="48"/>
        <v>1856</v>
      </c>
      <c r="AD55" s="272">
        <f t="shared" si="48"/>
        <v>1902</v>
      </c>
      <c r="AE55" s="272">
        <f t="shared" si="48"/>
        <v>818</v>
      </c>
      <c r="AF55" s="299">
        <f t="shared" si="48"/>
        <v>1439</v>
      </c>
      <c r="AG55" s="299">
        <f t="shared" si="48"/>
        <v>975</v>
      </c>
      <c r="AH55" s="299">
        <f t="shared" si="48"/>
        <v>332</v>
      </c>
      <c r="AI55" s="299">
        <f t="shared" si="48"/>
        <v>169</v>
      </c>
      <c r="AJ55" s="299">
        <f t="shared" si="48"/>
        <v>74</v>
      </c>
      <c r="AK55" s="299">
        <f t="shared" si="48"/>
        <v>2003</v>
      </c>
      <c r="AL55" s="299">
        <f t="shared" si="48"/>
        <v>61</v>
      </c>
      <c r="AM55" s="300">
        <f t="shared" si="48"/>
        <v>231</v>
      </c>
      <c r="AN55" s="301">
        <f t="shared" si="48"/>
        <v>9860</v>
      </c>
      <c r="AP55" s="8">
        <f t="shared" si="6"/>
      </c>
    </row>
    <row r="56" spans="2:42" s="8" customFormat="1" ht="22.5" customHeight="1" thickBot="1">
      <c r="B56" s="470" t="s">
        <v>40</v>
      </c>
      <c r="C56" s="471"/>
      <c r="D56" s="472"/>
      <c r="E56" s="260">
        <f>SUM(E12,E16,E19,E23,E28,E35,E41,E43,E46,E53)</f>
        <v>16215</v>
      </c>
      <c r="F56" s="11">
        <f>SUM(F12,F16,F19,F23,F28,F35,F41,F43,F46,F53)</f>
        <v>14989</v>
      </c>
      <c r="G56" s="11">
        <f>SUM(G12,G16,G19,G23,G28,G35,G41,G43,G46,G53)</f>
        <v>5136</v>
      </c>
      <c r="H56" s="12">
        <f>SUM(H12,H16,H19,H23,H28,H35,H41,H43,H46,H53)</f>
        <v>9827</v>
      </c>
      <c r="I56" s="12">
        <f aca="true" t="shared" si="49" ref="I56:AN56">SUM(I12,I16,I19,I23,I28,I35,I41,I43,I46,I53)</f>
        <v>6826</v>
      </c>
      <c r="J56" s="12">
        <f t="shared" si="49"/>
        <v>2671</v>
      </c>
      <c r="K56" s="12">
        <f t="shared" si="49"/>
        <v>1478</v>
      </c>
      <c r="L56" s="12">
        <f t="shared" si="49"/>
        <v>696</v>
      </c>
      <c r="M56" s="12">
        <f t="shared" si="49"/>
        <v>24001</v>
      </c>
      <c r="N56" s="12">
        <f t="shared" si="49"/>
        <v>804</v>
      </c>
      <c r="O56" s="13">
        <f t="shared" si="49"/>
        <v>1276</v>
      </c>
      <c r="P56" s="14">
        <f t="shared" si="49"/>
        <v>83919</v>
      </c>
      <c r="Q56" s="302">
        <f t="shared" si="49"/>
        <v>4324</v>
      </c>
      <c r="R56" s="303">
        <f t="shared" si="49"/>
        <v>4085</v>
      </c>
      <c r="S56" s="303">
        <f t="shared" si="49"/>
        <v>910</v>
      </c>
      <c r="T56" s="304">
        <f t="shared" si="49"/>
        <v>1720</v>
      </c>
      <c r="U56" s="304">
        <f t="shared" si="49"/>
        <v>1001</v>
      </c>
      <c r="V56" s="304">
        <f t="shared" si="49"/>
        <v>835</v>
      </c>
      <c r="W56" s="304">
        <f t="shared" si="49"/>
        <v>585</v>
      </c>
      <c r="X56" s="304">
        <f t="shared" si="49"/>
        <v>232</v>
      </c>
      <c r="Y56" s="304">
        <f t="shared" si="49"/>
        <v>7417</v>
      </c>
      <c r="Z56" s="304">
        <f t="shared" si="49"/>
        <v>237</v>
      </c>
      <c r="AA56" s="304">
        <f t="shared" si="49"/>
        <v>460</v>
      </c>
      <c r="AB56" s="305">
        <f t="shared" si="49"/>
        <v>21806</v>
      </c>
      <c r="AC56" s="302">
        <f t="shared" si="49"/>
        <v>11891</v>
      </c>
      <c r="AD56" s="303">
        <f t="shared" si="49"/>
        <v>10904</v>
      </c>
      <c r="AE56" s="303">
        <f t="shared" si="49"/>
        <v>4226</v>
      </c>
      <c r="AF56" s="304">
        <f t="shared" si="49"/>
        <v>8107</v>
      </c>
      <c r="AG56" s="304">
        <f t="shared" si="49"/>
        <v>5825</v>
      </c>
      <c r="AH56" s="304">
        <f t="shared" si="49"/>
        <v>1836</v>
      </c>
      <c r="AI56" s="304">
        <f t="shared" si="49"/>
        <v>893</v>
      </c>
      <c r="AJ56" s="304">
        <f t="shared" si="49"/>
        <v>464</v>
      </c>
      <c r="AK56" s="304">
        <f t="shared" si="49"/>
        <v>16584</v>
      </c>
      <c r="AL56" s="304">
        <f t="shared" si="49"/>
        <v>567</v>
      </c>
      <c r="AM56" s="306">
        <f t="shared" si="49"/>
        <v>816</v>
      </c>
      <c r="AN56" s="305">
        <f t="shared" si="49"/>
        <v>62113</v>
      </c>
      <c r="AP56" s="8">
        <f t="shared" si="6"/>
      </c>
    </row>
    <row r="57" spans="2:40" s="8" customFormat="1" ht="10.5" customHeight="1">
      <c r="B57" s="15"/>
      <c r="C57" s="15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2:4" s="8" customFormat="1" ht="10.5" customHeight="1">
      <c r="B58" s="15"/>
      <c r="C58" s="15"/>
      <c r="D58" s="16"/>
    </row>
    <row r="59" spans="2:40" s="8" customFormat="1" ht="10.5" customHeight="1" hidden="1">
      <c r="B59" s="15"/>
      <c r="C59" s="15"/>
      <c r="D59" s="16"/>
      <c r="E59" s="8">
        <f>E54+E55</f>
        <v>16215</v>
      </c>
      <c r="F59" s="8">
        <f aca="true" t="shared" si="50" ref="F59:AN59">F54+F55</f>
        <v>14989</v>
      </c>
      <c r="G59" s="8">
        <f t="shared" si="50"/>
        <v>5136</v>
      </c>
      <c r="H59" s="8">
        <f t="shared" si="50"/>
        <v>9827</v>
      </c>
      <c r="I59" s="8">
        <f t="shared" si="50"/>
        <v>6826</v>
      </c>
      <c r="J59" s="8">
        <f t="shared" si="50"/>
        <v>2671</v>
      </c>
      <c r="K59" s="8">
        <f t="shared" si="50"/>
        <v>1478</v>
      </c>
      <c r="L59" s="8">
        <f t="shared" si="50"/>
        <v>696</v>
      </c>
      <c r="M59" s="8">
        <f t="shared" si="50"/>
        <v>24001</v>
      </c>
      <c r="N59" s="8">
        <f t="shared" si="50"/>
        <v>804</v>
      </c>
      <c r="O59" s="8">
        <f t="shared" si="50"/>
        <v>1276</v>
      </c>
      <c r="P59" s="8">
        <f t="shared" si="50"/>
        <v>83919</v>
      </c>
      <c r="Q59" s="8">
        <f t="shared" si="50"/>
        <v>4324</v>
      </c>
      <c r="R59" s="8">
        <f t="shared" si="50"/>
        <v>4085</v>
      </c>
      <c r="S59" s="8">
        <f t="shared" si="50"/>
        <v>910</v>
      </c>
      <c r="T59" s="8">
        <f t="shared" si="50"/>
        <v>1720</v>
      </c>
      <c r="U59" s="8">
        <f t="shared" si="50"/>
        <v>1001</v>
      </c>
      <c r="V59" s="8">
        <f t="shared" si="50"/>
        <v>835</v>
      </c>
      <c r="W59" s="8">
        <f t="shared" si="50"/>
        <v>585</v>
      </c>
      <c r="X59" s="8">
        <f t="shared" si="50"/>
        <v>232</v>
      </c>
      <c r="Y59" s="8">
        <f t="shared" si="50"/>
        <v>7417</v>
      </c>
      <c r="Z59" s="8">
        <f t="shared" si="50"/>
        <v>237</v>
      </c>
      <c r="AA59" s="8">
        <f t="shared" si="50"/>
        <v>460</v>
      </c>
      <c r="AB59" s="8">
        <f t="shared" si="50"/>
        <v>21806</v>
      </c>
      <c r="AC59" s="8">
        <f t="shared" si="50"/>
        <v>11891</v>
      </c>
      <c r="AD59" s="8">
        <f t="shared" si="50"/>
        <v>10904</v>
      </c>
      <c r="AE59" s="8">
        <f t="shared" si="50"/>
        <v>4226</v>
      </c>
      <c r="AF59" s="8">
        <f t="shared" si="50"/>
        <v>8107</v>
      </c>
      <c r="AG59" s="8">
        <f t="shared" si="50"/>
        <v>5825</v>
      </c>
      <c r="AH59" s="8">
        <f t="shared" si="50"/>
        <v>1836</v>
      </c>
      <c r="AI59" s="8">
        <f t="shared" si="50"/>
        <v>893</v>
      </c>
      <c r="AJ59" s="8">
        <f t="shared" si="50"/>
        <v>464</v>
      </c>
      <c r="AK59" s="8">
        <f t="shared" si="50"/>
        <v>16584</v>
      </c>
      <c r="AL59" s="8">
        <f t="shared" si="50"/>
        <v>567</v>
      </c>
      <c r="AM59" s="8">
        <f t="shared" si="50"/>
        <v>816</v>
      </c>
      <c r="AN59" s="8">
        <f t="shared" si="50"/>
        <v>62113</v>
      </c>
    </row>
    <row r="60" spans="2:4" s="8" customFormat="1" ht="10.5" customHeight="1">
      <c r="B60" s="15"/>
      <c r="C60" s="15"/>
      <c r="D60" s="16"/>
    </row>
    <row r="61" spans="2:4" s="8" customFormat="1" ht="10.5" customHeight="1">
      <c r="B61" s="15"/>
      <c r="C61" s="15"/>
      <c r="D61" s="16"/>
    </row>
    <row r="62" spans="2:4" s="8" customFormat="1" ht="10.5" customHeight="1">
      <c r="B62" s="15"/>
      <c r="C62" s="15"/>
      <c r="D62" s="16"/>
    </row>
    <row r="63" spans="2:4" s="8" customFormat="1" ht="10.5" customHeight="1">
      <c r="B63" s="15"/>
      <c r="C63" s="15"/>
      <c r="D63" s="16"/>
    </row>
    <row r="64" spans="2:4" s="8" customFormat="1" ht="10.5" customHeight="1">
      <c r="B64" s="15"/>
      <c r="C64" s="15"/>
      <c r="D64" s="16"/>
    </row>
    <row r="65" spans="2:4" s="8" customFormat="1" ht="10.5" customHeight="1">
      <c r="B65" s="15"/>
      <c r="C65" s="15"/>
      <c r="D65" s="16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</sheetData>
  <sheetProtection/>
  <mergeCells count="96">
    <mergeCell ref="B3:B8"/>
    <mergeCell ref="C3:D8"/>
    <mergeCell ref="E3:P3"/>
    <mergeCell ref="Q3:AB3"/>
    <mergeCell ref="AC3:AN3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L5:AL8"/>
    <mergeCell ref="AM5:AM8"/>
    <mergeCell ref="AB5:AB8"/>
    <mergeCell ref="AC5:AC8"/>
    <mergeCell ref="AD5:AD8"/>
    <mergeCell ref="AE5:AE8"/>
    <mergeCell ref="AF5:AF8"/>
    <mergeCell ref="AG5:AG8"/>
    <mergeCell ref="AN5:AN8"/>
    <mergeCell ref="C13:D13"/>
    <mergeCell ref="C9:D9"/>
    <mergeCell ref="C10:D10"/>
    <mergeCell ref="C11:D11"/>
    <mergeCell ref="C12:D12"/>
    <mergeCell ref="AH5:AH8"/>
    <mergeCell ref="AI5:AI8"/>
    <mergeCell ref="AJ5:AJ8"/>
    <mergeCell ref="AK5:AK8"/>
    <mergeCell ref="C14:D14"/>
    <mergeCell ref="C15:D15"/>
    <mergeCell ref="C16:D16"/>
    <mergeCell ref="B17:B19"/>
    <mergeCell ref="C17:D17"/>
    <mergeCell ref="C18:D18"/>
    <mergeCell ref="C19:D19"/>
    <mergeCell ref="B20:B23"/>
    <mergeCell ref="C20:D20"/>
    <mergeCell ref="C21:D21"/>
    <mergeCell ref="C22:D22"/>
    <mergeCell ref="C23:D23"/>
    <mergeCell ref="B24:B28"/>
    <mergeCell ref="C24:D24"/>
    <mergeCell ref="C25:D25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36:B41"/>
    <mergeCell ref="C36:D36"/>
    <mergeCell ref="C37:D37"/>
    <mergeCell ref="C38:D38"/>
    <mergeCell ref="C39:D39"/>
    <mergeCell ref="C40:D40"/>
    <mergeCell ref="C41:D41"/>
    <mergeCell ref="B42:B43"/>
    <mergeCell ref="C42:D42"/>
    <mergeCell ref="C43:D43"/>
    <mergeCell ref="B44:B46"/>
    <mergeCell ref="C44:D44"/>
    <mergeCell ref="C45:D45"/>
    <mergeCell ref="C46:D46"/>
    <mergeCell ref="B9:B12"/>
    <mergeCell ref="B13:B16"/>
    <mergeCell ref="B47:B53"/>
    <mergeCell ref="C47:D47"/>
    <mergeCell ref="C48:D48"/>
    <mergeCell ref="C49:D49"/>
    <mergeCell ref="C50:D50"/>
    <mergeCell ref="C51:D51"/>
    <mergeCell ref="C52:D52"/>
    <mergeCell ref="C53:D53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horizontalDpi="600" verticalDpi="600" orientation="portrait" paperSize="9" scale="60" r:id="rId1"/>
  <headerFooter alignWithMargins="0">
    <oddFooter>&amp;C&amp;"ＭＳ ゴシック,標準"&amp;14&amp;P</oddFooter>
  </headerFooter>
  <colBreaks count="1" manualBreakCount="1">
    <brk id="16" max="55" man="1"/>
  </colBreaks>
  <ignoredErrors>
    <ignoredError sqref="C54:D56 C14:D53 C9:D12 B54:B56" unlockedFormula="1"/>
    <ignoredError sqref="E53:AN55 E48:P48 AB48 AN48 F14:P14 AB14 E12:AN12 E9:P11 AB9:AB11 AN9:AN11 E15:P15 AB15 AN14 AN15 E19:AN19 E17:P18 AB17:AB18 AN17:AN18 E23:AN23 E20:P22 AB20:AB22 AN20:AN22 E28:AN28 E24:P27 AB24:AB27 AN24:AN27 E35:AN35 E29:P34 AB29:AB34 AN29:AN34 E41:AN41 E36:P40 AB36:AB40 AN36:AN40 E43:AN43 E42:P42 AB42 AN42 E46:AN46 E44:P45 AB44:AB45 AN44:AN45 E49:P52 AB49:AB52 E47:P47 AB47 AN49:AN52 AN47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Q65"/>
  <sheetViews>
    <sheetView zoomScale="85" zoomScaleNormal="85" zoomScaleSheetLayoutView="85" workbookViewId="0" topLeftCell="C46">
      <selection activeCell="C59" sqref="A59:IV59"/>
    </sheetView>
  </sheetViews>
  <sheetFormatPr defaultColWidth="10.00390625" defaultRowHeight="15" customHeight="1"/>
  <cols>
    <col min="1" max="1" width="0.12890625" style="6" customWidth="1"/>
    <col min="2" max="2" width="9.50390625" style="1" customWidth="1"/>
    <col min="3" max="3" width="3.00390625" style="1" customWidth="1"/>
    <col min="4" max="4" width="11.75390625" style="2" customWidth="1"/>
    <col min="5" max="16" width="10.375" style="6" customWidth="1"/>
    <col min="17" max="27" width="5.125" style="6" customWidth="1"/>
    <col min="28" max="28" width="5.75390625" style="6" customWidth="1"/>
    <col min="29" max="40" width="5.875" style="6" customWidth="1"/>
    <col min="41" max="16384" width="10.00390625" style="6" customWidth="1"/>
  </cols>
  <sheetData>
    <row r="1" spans="1:40" ht="18" customHeight="1">
      <c r="A1" s="7"/>
      <c r="C1" s="24"/>
      <c r="D1" s="25"/>
      <c r="E1" s="24" t="s">
        <v>101</v>
      </c>
      <c r="F1" s="24"/>
      <c r="G1" s="24"/>
      <c r="H1" s="27"/>
      <c r="I1" s="27"/>
      <c r="J1" s="27"/>
      <c r="K1" s="27"/>
      <c r="L1" s="29"/>
      <c r="M1" s="28"/>
      <c r="N1" s="28"/>
      <c r="O1" s="28"/>
      <c r="P1" s="28"/>
      <c r="Q1" s="30"/>
      <c r="R1" s="30"/>
      <c r="S1" s="30"/>
      <c r="T1" s="27"/>
      <c r="U1" s="27"/>
      <c r="V1" s="27"/>
      <c r="W1" s="27"/>
      <c r="X1" s="27"/>
      <c r="Y1" s="27"/>
      <c r="Z1" s="27"/>
      <c r="AA1" s="28"/>
      <c r="AB1" s="28"/>
      <c r="AC1" s="30"/>
      <c r="AD1" s="30"/>
      <c r="AE1" s="30"/>
      <c r="AF1" s="3"/>
      <c r="AG1" s="3"/>
      <c r="AH1" s="3"/>
      <c r="AI1" s="5"/>
      <c r="AJ1" s="3"/>
      <c r="AK1" s="3"/>
      <c r="AL1" s="3"/>
      <c r="AM1" s="4"/>
      <c r="AN1" s="4"/>
    </row>
    <row r="2" spans="1:40" ht="13.5" customHeight="1" thickBot="1">
      <c r="A2" s="7"/>
      <c r="B2" s="24"/>
      <c r="C2" s="24"/>
      <c r="D2" s="25"/>
      <c r="E2" s="24"/>
      <c r="F2" s="24"/>
      <c r="G2" s="24"/>
      <c r="H2" s="27"/>
      <c r="I2" s="27"/>
      <c r="J2" s="27"/>
      <c r="K2" s="27"/>
      <c r="L2" s="29"/>
      <c r="M2" s="28"/>
      <c r="N2" s="28"/>
      <c r="O2" s="28" t="s">
        <v>111</v>
      </c>
      <c r="P2" s="28"/>
      <c r="Q2" s="30"/>
      <c r="R2" s="30"/>
      <c r="S2" s="30"/>
      <c r="T2" s="27"/>
      <c r="U2" s="27"/>
      <c r="V2" s="27"/>
      <c r="W2" s="27"/>
      <c r="X2" s="27"/>
      <c r="Y2" s="27"/>
      <c r="Z2" s="27"/>
      <c r="AA2" s="28"/>
      <c r="AB2" s="28"/>
      <c r="AC2" s="30"/>
      <c r="AD2" s="30"/>
      <c r="AE2" s="30"/>
      <c r="AF2" s="27"/>
      <c r="AG2" s="27"/>
      <c r="AH2" s="27"/>
      <c r="AI2" s="29"/>
      <c r="AJ2" s="27"/>
      <c r="AK2" s="27" t="s">
        <v>111</v>
      </c>
      <c r="AL2" s="27"/>
      <c r="AM2" s="28"/>
      <c r="AN2" s="28"/>
    </row>
    <row r="3" spans="1:40" ht="15" customHeight="1" thickBot="1">
      <c r="A3" s="7"/>
      <c r="B3" s="836" t="s">
        <v>95</v>
      </c>
      <c r="C3" s="764" t="s">
        <v>42</v>
      </c>
      <c r="D3" s="765"/>
      <c r="E3" s="785" t="s">
        <v>83</v>
      </c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7"/>
      <c r="Q3" s="773" t="s">
        <v>84</v>
      </c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5"/>
      <c r="AC3" s="773" t="s">
        <v>85</v>
      </c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5"/>
    </row>
    <row r="4" spans="1:40" ht="15" customHeight="1">
      <c r="A4" s="7"/>
      <c r="B4" s="837"/>
      <c r="C4" s="766"/>
      <c r="D4" s="767"/>
      <c r="E4" s="31">
        <v>1</v>
      </c>
      <c r="F4" s="32">
        <v>2</v>
      </c>
      <c r="G4" s="33">
        <v>3</v>
      </c>
      <c r="H4" s="32">
        <v>4</v>
      </c>
      <c r="I4" s="32">
        <v>5</v>
      </c>
      <c r="J4" s="32">
        <v>6</v>
      </c>
      <c r="K4" s="32">
        <v>7</v>
      </c>
      <c r="L4" s="32">
        <v>8</v>
      </c>
      <c r="M4" s="32">
        <v>9</v>
      </c>
      <c r="N4" s="32">
        <v>10</v>
      </c>
      <c r="O4" s="34">
        <v>11</v>
      </c>
      <c r="P4" s="35"/>
      <c r="Q4" s="36">
        <v>1</v>
      </c>
      <c r="R4" s="37">
        <v>2</v>
      </c>
      <c r="S4" s="37">
        <v>3</v>
      </c>
      <c r="T4" s="37">
        <v>4</v>
      </c>
      <c r="U4" s="37">
        <v>5</v>
      </c>
      <c r="V4" s="37">
        <v>6</v>
      </c>
      <c r="W4" s="37">
        <v>7</v>
      </c>
      <c r="X4" s="37">
        <v>8</v>
      </c>
      <c r="Y4" s="38">
        <v>9</v>
      </c>
      <c r="Z4" s="38">
        <v>10</v>
      </c>
      <c r="AA4" s="38">
        <v>11</v>
      </c>
      <c r="AB4" s="39"/>
      <c r="AC4" s="40">
        <v>1</v>
      </c>
      <c r="AD4" s="37">
        <v>2</v>
      </c>
      <c r="AE4" s="37">
        <v>3</v>
      </c>
      <c r="AF4" s="37">
        <v>4</v>
      </c>
      <c r="AG4" s="37">
        <v>5</v>
      </c>
      <c r="AH4" s="37">
        <v>6</v>
      </c>
      <c r="AI4" s="37">
        <v>7</v>
      </c>
      <c r="AJ4" s="37">
        <v>8</v>
      </c>
      <c r="AK4" s="38">
        <v>9</v>
      </c>
      <c r="AL4" s="38">
        <v>10</v>
      </c>
      <c r="AM4" s="38">
        <v>11</v>
      </c>
      <c r="AN4" s="307"/>
    </row>
    <row r="5" spans="1:40" ht="15" customHeight="1">
      <c r="A5" s="7"/>
      <c r="B5" s="837"/>
      <c r="C5" s="766"/>
      <c r="D5" s="767"/>
      <c r="E5" s="843" t="s">
        <v>86</v>
      </c>
      <c r="F5" s="789" t="s">
        <v>87</v>
      </c>
      <c r="G5" s="845" t="s">
        <v>88</v>
      </c>
      <c r="H5" s="789" t="s">
        <v>89</v>
      </c>
      <c r="I5" s="789" t="s">
        <v>90</v>
      </c>
      <c r="J5" s="789" t="s">
        <v>91</v>
      </c>
      <c r="K5" s="789" t="s">
        <v>92</v>
      </c>
      <c r="L5" s="789" t="s">
        <v>93</v>
      </c>
      <c r="M5" s="789" t="s">
        <v>94</v>
      </c>
      <c r="N5" s="789" t="s">
        <v>81</v>
      </c>
      <c r="O5" s="841" t="s">
        <v>82</v>
      </c>
      <c r="P5" s="795" t="s">
        <v>53</v>
      </c>
      <c r="Q5" s="830" t="s">
        <v>86</v>
      </c>
      <c r="R5" s="832" t="s">
        <v>87</v>
      </c>
      <c r="S5" s="832" t="s">
        <v>88</v>
      </c>
      <c r="T5" s="832" t="s">
        <v>89</v>
      </c>
      <c r="U5" s="832" t="s">
        <v>90</v>
      </c>
      <c r="V5" s="832" t="s">
        <v>91</v>
      </c>
      <c r="W5" s="832" t="s">
        <v>92</v>
      </c>
      <c r="X5" s="832" t="s">
        <v>93</v>
      </c>
      <c r="Y5" s="832" t="s">
        <v>94</v>
      </c>
      <c r="Z5" s="832" t="s">
        <v>81</v>
      </c>
      <c r="AA5" s="834" t="s">
        <v>82</v>
      </c>
      <c r="AB5" s="828" t="s">
        <v>53</v>
      </c>
      <c r="AC5" s="830" t="s">
        <v>86</v>
      </c>
      <c r="AD5" s="832" t="s">
        <v>87</v>
      </c>
      <c r="AE5" s="832" t="s">
        <v>88</v>
      </c>
      <c r="AF5" s="832" t="s">
        <v>89</v>
      </c>
      <c r="AG5" s="832" t="s">
        <v>90</v>
      </c>
      <c r="AH5" s="832" t="s">
        <v>91</v>
      </c>
      <c r="AI5" s="832" t="s">
        <v>92</v>
      </c>
      <c r="AJ5" s="832" t="s">
        <v>93</v>
      </c>
      <c r="AK5" s="832" t="s">
        <v>94</v>
      </c>
      <c r="AL5" s="832" t="s">
        <v>81</v>
      </c>
      <c r="AM5" s="834" t="s">
        <v>82</v>
      </c>
      <c r="AN5" s="828" t="s">
        <v>53</v>
      </c>
    </row>
    <row r="6" spans="1:40" ht="15" customHeight="1">
      <c r="A6" s="7"/>
      <c r="B6" s="837"/>
      <c r="C6" s="766"/>
      <c r="D6" s="767"/>
      <c r="E6" s="843"/>
      <c r="F6" s="789"/>
      <c r="G6" s="845"/>
      <c r="H6" s="789"/>
      <c r="I6" s="789"/>
      <c r="J6" s="789"/>
      <c r="K6" s="789"/>
      <c r="L6" s="789"/>
      <c r="M6" s="789"/>
      <c r="N6" s="789"/>
      <c r="O6" s="841"/>
      <c r="P6" s="795"/>
      <c r="Q6" s="830"/>
      <c r="R6" s="832"/>
      <c r="S6" s="832"/>
      <c r="T6" s="832"/>
      <c r="U6" s="832"/>
      <c r="V6" s="832"/>
      <c r="W6" s="832"/>
      <c r="X6" s="832"/>
      <c r="Y6" s="832"/>
      <c r="Z6" s="832"/>
      <c r="AA6" s="834"/>
      <c r="AB6" s="828"/>
      <c r="AC6" s="830"/>
      <c r="AD6" s="832"/>
      <c r="AE6" s="832"/>
      <c r="AF6" s="832"/>
      <c r="AG6" s="832"/>
      <c r="AH6" s="832"/>
      <c r="AI6" s="832"/>
      <c r="AJ6" s="832"/>
      <c r="AK6" s="832"/>
      <c r="AL6" s="832"/>
      <c r="AM6" s="834"/>
      <c r="AN6" s="828"/>
    </row>
    <row r="7" spans="1:40" ht="18" customHeight="1">
      <c r="A7" s="7"/>
      <c r="B7" s="837"/>
      <c r="C7" s="766"/>
      <c r="D7" s="767"/>
      <c r="E7" s="843"/>
      <c r="F7" s="789"/>
      <c r="G7" s="845"/>
      <c r="H7" s="789"/>
      <c r="I7" s="789"/>
      <c r="J7" s="789"/>
      <c r="K7" s="789"/>
      <c r="L7" s="789"/>
      <c r="M7" s="789"/>
      <c r="N7" s="789"/>
      <c r="O7" s="841"/>
      <c r="P7" s="795"/>
      <c r="Q7" s="830"/>
      <c r="R7" s="832"/>
      <c r="S7" s="832"/>
      <c r="T7" s="832"/>
      <c r="U7" s="832"/>
      <c r="V7" s="832"/>
      <c r="W7" s="832"/>
      <c r="X7" s="832"/>
      <c r="Y7" s="832"/>
      <c r="Z7" s="832"/>
      <c r="AA7" s="834"/>
      <c r="AB7" s="828"/>
      <c r="AC7" s="830"/>
      <c r="AD7" s="832"/>
      <c r="AE7" s="832"/>
      <c r="AF7" s="832"/>
      <c r="AG7" s="832"/>
      <c r="AH7" s="832"/>
      <c r="AI7" s="832"/>
      <c r="AJ7" s="832"/>
      <c r="AK7" s="832"/>
      <c r="AL7" s="832"/>
      <c r="AM7" s="834"/>
      <c r="AN7" s="828"/>
    </row>
    <row r="8" spans="1:40" ht="130.5" customHeight="1" thickBot="1">
      <c r="A8" s="7"/>
      <c r="B8" s="838"/>
      <c r="C8" s="768"/>
      <c r="D8" s="769"/>
      <c r="E8" s="844"/>
      <c r="F8" s="790"/>
      <c r="G8" s="846"/>
      <c r="H8" s="790"/>
      <c r="I8" s="790"/>
      <c r="J8" s="790"/>
      <c r="K8" s="790"/>
      <c r="L8" s="790"/>
      <c r="M8" s="790"/>
      <c r="N8" s="790"/>
      <c r="O8" s="842"/>
      <c r="P8" s="796"/>
      <c r="Q8" s="831"/>
      <c r="R8" s="833"/>
      <c r="S8" s="833"/>
      <c r="T8" s="833"/>
      <c r="U8" s="833"/>
      <c r="V8" s="833"/>
      <c r="W8" s="833"/>
      <c r="X8" s="833"/>
      <c r="Y8" s="833"/>
      <c r="Z8" s="833"/>
      <c r="AA8" s="835"/>
      <c r="AB8" s="829"/>
      <c r="AC8" s="831"/>
      <c r="AD8" s="833"/>
      <c r="AE8" s="833"/>
      <c r="AF8" s="833"/>
      <c r="AG8" s="833"/>
      <c r="AH8" s="833"/>
      <c r="AI8" s="833"/>
      <c r="AJ8" s="833"/>
      <c r="AK8" s="833"/>
      <c r="AL8" s="833"/>
      <c r="AM8" s="835"/>
      <c r="AN8" s="829"/>
    </row>
    <row r="9" spans="1:42" s="8" customFormat="1" ht="21" customHeight="1">
      <c r="A9" s="9"/>
      <c r="B9" s="624" t="s">
        <v>44</v>
      </c>
      <c r="C9" s="800" t="s">
        <v>10</v>
      </c>
      <c r="D9" s="801"/>
      <c r="E9" s="41">
        <f aca="true" t="shared" si="0" ref="E9:O11">Q9+AC9</f>
        <v>1620</v>
      </c>
      <c r="F9" s="52">
        <f t="shared" si="0"/>
        <v>821</v>
      </c>
      <c r="G9" s="53">
        <f t="shared" si="0"/>
        <v>459</v>
      </c>
      <c r="H9" s="52">
        <f t="shared" si="0"/>
        <v>469</v>
      </c>
      <c r="I9" s="52">
        <f t="shared" si="0"/>
        <v>426</v>
      </c>
      <c r="J9" s="54">
        <f t="shared" si="0"/>
        <v>459</v>
      </c>
      <c r="K9" s="54">
        <f t="shared" si="0"/>
        <v>20</v>
      </c>
      <c r="L9" s="54">
        <f t="shared" si="0"/>
        <v>55</v>
      </c>
      <c r="M9" s="75">
        <f t="shared" si="0"/>
        <v>19</v>
      </c>
      <c r="N9" s="75">
        <f t="shared" si="0"/>
        <v>24</v>
      </c>
      <c r="O9" s="90">
        <f t="shared" si="0"/>
        <v>110</v>
      </c>
      <c r="P9" s="57">
        <f aca="true" t="shared" si="1" ref="P9:P53">SUM(E9:O9)</f>
        <v>4482</v>
      </c>
      <c r="Q9" s="380">
        <v>380</v>
      </c>
      <c r="R9" s="417">
        <v>242</v>
      </c>
      <c r="S9" s="417">
        <v>111</v>
      </c>
      <c r="T9" s="381">
        <v>92</v>
      </c>
      <c r="U9" s="381">
        <v>84</v>
      </c>
      <c r="V9" s="382">
        <v>107</v>
      </c>
      <c r="W9" s="382">
        <v>5</v>
      </c>
      <c r="X9" s="382">
        <v>15</v>
      </c>
      <c r="Y9" s="383">
        <v>12</v>
      </c>
      <c r="Z9" s="383">
        <v>6</v>
      </c>
      <c r="AA9" s="383">
        <v>47</v>
      </c>
      <c r="AB9" s="271">
        <f aca="true" t="shared" si="2" ref="AB9:AB18">SUM(Q9:AA9)</f>
        <v>1101</v>
      </c>
      <c r="AC9" s="380">
        <v>1240</v>
      </c>
      <c r="AD9" s="417">
        <v>579</v>
      </c>
      <c r="AE9" s="417">
        <v>348</v>
      </c>
      <c r="AF9" s="381">
        <v>377</v>
      </c>
      <c r="AG9" s="381">
        <v>342</v>
      </c>
      <c r="AH9" s="382">
        <v>352</v>
      </c>
      <c r="AI9" s="382">
        <v>15</v>
      </c>
      <c r="AJ9" s="382">
        <v>40</v>
      </c>
      <c r="AK9" s="382">
        <v>7</v>
      </c>
      <c r="AL9" s="382">
        <v>18</v>
      </c>
      <c r="AM9" s="392">
        <v>63</v>
      </c>
      <c r="AN9" s="271">
        <f aca="true" t="shared" si="3" ref="AN9:AN18">SUM(AC9:AM9)</f>
        <v>3381</v>
      </c>
      <c r="AO9" s="9"/>
      <c r="AP9" s="9"/>
    </row>
    <row r="10" spans="2:43" s="9" customFormat="1" ht="21" customHeight="1">
      <c r="B10" s="625"/>
      <c r="C10" s="820" t="s">
        <v>11</v>
      </c>
      <c r="D10" s="821"/>
      <c r="E10" s="58">
        <f t="shared" si="0"/>
        <v>174</v>
      </c>
      <c r="F10" s="59">
        <f t="shared" si="0"/>
        <v>99</v>
      </c>
      <c r="G10" s="60">
        <f t="shared" si="0"/>
        <v>73</v>
      </c>
      <c r="H10" s="59">
        <f t="shared" si="0"/>
        <v>62</v>
      </c>
      <c r="I10" s="59">
        <f t="shared" si="0"/>
        <v>76</v>
      </c>
      <c r="J10" s="61">
        <f t="shared" si="0"/>
        <v>115</v>
      </c>
      <c r="K10" s="61">
        <f t="shared" si="0"/>
        <v>17</v>
      </c>
      <c r="L10" s="61">
        <f t="shared" si="0"/>
        <v>21</v>
      </c>
      <c r="M10" s="55">
        <f t="shared" si="0"/>
        <v>1</v>
      </c>
      <c r="N10" s="55">
        <f t="shared" si="0"/>
        <v>6</v>
      </c>
      <c r="O10" s="56">
        <f t="shared" si="0"/>
        <v>7</v>
      </c>
      <c r="P10" s="62">
        <f t="shared" si="1"/>
        <v>651</v>
      </c>
      <c r="Q10" s="384">
        <v>37</v>
      </c>
      <c r="R10" s="418">
        <v>30</v>
      </c>
      <c r="S10" s="418">
        <v>21</v>
      </c>
      <c r="T10" s="385">
        <v>14</v>
      </c>
      <c r="U10" s="385">
        <v>18</v>
      </c>
      <c r="V10" s="386">
        <v>30</v>
      </c>
      <c r="W10" s="386">
        <v>3</v>
      </c>
      <c r="X10" s="386">
        <v>5</v>
      </c>
      <c r="Y10" s="387">
        <v>1</v>
      </c>
      <c r="Z10" s="387">
        <v>3</v>
      </c>
      <c r="AA10" s="387">
        <v>2</v>
      </c>
      <c r="AB10" s="273">
        <f t="shared" si="2"/>
        <v>164</v>
      </c>
      <c r="AC10" s="384">
        <v>137</v>
      </c>
      <c r="AD10" s="418">
        <v>69</v>
      </c>
      <c r="AE10" s="418">
        <v>52</v>
      </c>
      <c r="AF10" s="385">
        <v>48</v>
      </c>
      <c r="AG10" s="385">
        <v>58</v>
      </c>
      <c r="AH10" s="386">
        <v>85</v>
      </c>
      <c r="AI10" s="386">
        <v>14</v>
      </c>
      <c r="AJ10" s="386">
        <v>16</v>
      </c>
      <c r="AK10" s="386">
        <v>0</v>
      </c>
      <c r="AL10" s="386">
        <v>3</v>
      </c>
      <c r="AM10" s="393">
        <v>5</v>
      </c>
      <c r="AN10" s="273">
        <f t="shared" si="3"/>
        <v>487</v>
      </c>
      <c r="AO10" s="8"/>
      <c r="AP10" s="8"/>
      <c r="AQ10" s="8"/>
    </row>
    <row r="11" spans="1:42" s="8" customFormat="1" ht="21" customHeight="1" thickBot="1">
      <c r="A11" s="9"/>
      <c r="B11" s="625"/>
      <c r="C11" s="822" t="s">
        <v>12</v>
      </c>
      <c r="D11" s="823"/>
      <c r="E11" s="63">
        <f t="shared" si="0"/>
        <v>232</v>
      </c>
      <c r="F11" s="64">
        <f t="shared" si="0"/>
        <v>131</v>
      </c>
      <c r="G11" s="65">
        <f t="shared" si="0"/>
        <v>111</v>
      </c>
      <c r="H11" s="64">
        <f t="shared" si="0"/>
        <v>89</v>
      </c>
      <c r="I11" s="64">
        <f t="shared" si="0"/>
        <v>97</v>
      </c>
      <c r="J11" s="55">
        <f t="shared" si="0"/>
        <v>94</v>
      </c>
      <c r="K11" s="55">
        <f t="shared" si="0"/>
        <v>17</v>
      </c>
      <c r="L11" s="55">
        <f t="shared" si="0"/>
        <v>37</v>
      </c>
      <c r="M11" s="55">
        <f t="shared" si="0"/>
        <v>2</v>
      </c>
      <c r="N11" s="55">
        <f t="shared" si="0"/>
        <v>2</v>
      </c>
      <c r="O11" s="56">
        <f t="shared" si="0"/>
        <v>15</v>
      </c>
      <c r="P11" s="66">
        <f t="shared" si="1"/>
        <v>827</v>
      </c>
      <c r="Q11" s="388">
        <v>57</v>
      </c>
      <c r="R11" s="419">
        <v>34</v>
      </c>
      <c r="S11" s="419">
        <v>39</v>
      </c>
      <c r="T11" s="389">
        <v>19</v>
      </c>
      <c r="U11" s="389">
        <v>29</v>
      </c>
      <c r="V11" s="390">
        <v>27</v>
      </c>
      <c r="W11" s="390">
        <v>4</v>
      </c>
      <c r="X11" s="390">
        <v>7</v>
      </c>
      <c r="Y11" s="391">
        <v>1</v>
      </c>
      <c r="Z11" s="391">
        <v>1</v>
      </c>
      <c r="AA11" s="391">
        <v>10</v>
      </c>
      <c r="AB11" s="274">
        <f t="shared" si="2"/>
        <v>228</v>
      </c>
      <c r="AC11" s="388">
        <v>175</v>
      </c>
      <c r="AD11" s="419">
        <v>97</v>
      </c>
      <c r="AE11" s="419">
        <v>72</v>
      </c>
      <c r="AF11" s="389">
        <v>70</v>
      </c>
      <c r="AG11" s="389">
        <v>68</v>
      </c>
      <c r="AH11" s="390">
        <v>67</v>
      </c>
      <c r="AI11" s="390">
        <v>13</v>
      </c>
      <c r="AJ11" s="390">
        <v>30</v>
      </c>
      <c r="AK11" s="390">
        <v>1</v>
      </c>
      <c r="AL11" s="390">
        <v>1</v>
      </c>
      <c r="AM11" s="394">
        <v>5</v>
      </c>
      <c r="AN11" s="274">
        <f t="shared" si="3"/>
        <v>599</v>
      </c>
      <c r="AO11" s="9"/>
      <c r="AP11" s="9"/>
    </row>
    <row r="12" spans="2:43" s="9" customFormat="1" ht="21" customHeight="1" thickBot="1" thickTop="1">
      <c r="B12" s="626"/>
      <c r="C12" s="812" t="s">
        <v>7</v>
      </c>
      <c r="D12" s="813"/>
      <c r="E12" s="47">
        <f aca="true" t="shared" si="4" ref="E12:O12">SUM(E9:E11)</f>
        <v>2026</v>
      </c>
      <c r="F12" s="48">
        <f>SUM(F9:F11)</f>
        <v>1051</v>
      </c>
      <c r="G12" s="49">
        <f>SUM(G9:G11)</f>
        <v>643</v>
      </c>
      <c r="H12" s="48">
        <f t="shared" si="4"/>
        <v>620</v>
      </c>
      <c r="I12" s="48">
        <f t="shared" si="4"/>
        <v>599</v>
      </c>
      <c r="J12" s="50">
        <f t="shared" si="4"/>
        <v>668</v>
      </c>
      <c r="K12" s="50">
        <f t="shared" si="4"/>
        <v>54</v>
      </c>
      <c r="L12" s="50">
        <f t="shared" si="4"/>
        <v>113</v>
      </c>
      <c r="M12" s="50">
        <f t="shared" si="4"/>
        <v>22</v>
      </c>
      <c r="N12" s="50">
        <f t="shared" si="4"/>
        <v>32</v>
      </c>
      <c r="O12" s="51">
        <f t="shared" si="4"/>
        <v>132</v>
      </c>
      <c r="P12" s="57">
        <f t="shared" si="1"/>
        <v>5960</v>
      </c>
      <c r="Q12" s="265">
        <f aca="true" t="shared" si="5" ref="Q12:AA12">SUM(Q9:Q11)</f>
        <v>474</v>
      </c>
      <c r="R12" s="282">
        <f t="shared" si="5"/>
        <v>306</v>
      </c>
      <c r="S12" s="282">
        <f t="shared" si="5"/>
        <v>171</v>
      </c>
      <c r="T12" s="266">
        <f t="shared" si="5"/>
        <v>125</v>
      </c>
      <c r="U12" s="266">
        <f t="shared" si="5"/>
        <v>131</v>
      </c>
      <c r="V12" s="267">
        <f t="shared" si="5"/>
        <v>164</v>
      </c>
      <c r="W12" s="267">
        <f t="shared" si="5"/>
        <v>12</v>
      </c>
      <c r="X12" s="267">
        <f t="shared" si="5"/>
        <v>27</v>
      </c>
      <c r="Y12" s="267">
        <f t="shared" si="5"/>
        <v>14</v>
      </c>
      <c r="Z12" s="267">
        <f t="shared" si="5"/>
        <v>10</v>
      </c>
      <c r="AA12" s="267">
        <f t="shared" si="5"/>
        <v>59</v>
      </c>
      <c r="AB12" s="269">
        <f t="shared" si="2"/>
        <v>1493</v>
      </c>
      <c r="AC12" s="265">
        <f aca="true" t="shared" si="6" ref="AC12:AM12">SUM(AC9:AC11)</f>
        <v>1552</v>
      </c>
      <c r="AD12" s="282">
        <f t="shared" si="6"/>
        <v>745</v>
      </c>
      <c r="AE12" s="282">
        <f t="shared" si="6"/>
        <v>472</v>
      </c>
      <c r="AF12" s="266">
        <f t="shared" si="6"/>
        <v>495</v>
      </c>
      <c r="AG12" s="266">
        <f t="shared" si="6"/>
        <v>468</v>
      </c>
      <c r="AH12" s="267">
        <f t="shared" si="6"/>
        <v>504</v>
      </c>
      <c r="AI12" s="267">
        <f t="shared" si="6"/>
        <v>42</v>
      </c>
      <c r="AJ12" s="267">
        <f t="shared" si="6"/>
        <v>86</v>
      </c>
      <c r="AK12" s="267">
        <f t="shared" si="6"/>
        <v>8</v>
      </c>
      <c r="AL12" s="267">
        <f t="shared" si="6"/>
        <v>22</v>
      </c>
      <c r="AM12" s="267">
        <f t="shared" si="6"/>
        <v>73</v>
      </c>
      <c r="AN12" s="269">
        <f t="shared" si="3"/>
        <v>4467</v>
      </c>
      <c r="AO12" s="8"/>
      <c r="AP12" s="8"/>
      <c r="AQ12" s="8"/>
    </row>
    <row r="13" spans="1:42" s="8" customFormat="1" ht="21" customHeight="1">
      <c r="A13" s="9"/>
      <c r="B13" s="624" t="s">
        <v>47</v>
      </c>
      <c r="C13" s="800" t="s">
        <v>6</v>
      </c>
      <c r="D13" s="801"/>
      <c r="E13" s="78">
        <f>Q13+AC13</f>
        <v>5871</v>
      </c>
      <c r="F13" s="42">
        <f aca="true" t="shared" si="7" ref="F13:O13">R13+AD13</f>
        <v>2878</v>
      </c>
      <c r="G13" s="43">
        <f t="shared" si="7"/>
        <v>1749</v>
      </c>
      <c r="H13" s="42">
        <f t="shared" si="7"/>
        <v>1782</v>
      </c>
      <c r="I13" s="42">
        <f t="shared" si="7"/>
        <v>1945</v>
      </c>
      <c r="J13" s="44">
        <f t="shared" si="7"/>
        <v>2117</v>
      </c>
      <c r="K13" s="44">
        <f t="shared" si="7"/>
        <v>131</v>
      </c>
      <c r="L13" s="44">
        <f t="shared" si="7"/>
        <v>368</v>
      </c>
      <c r="M13" s="45">
        <f t="shared" si="7"/>
        <v>140</v>
      </c>
      <c r="N13" s="45">
        <f t="shared" si="7"/>
        <v>63</v>
      </c>
      <c r="O13" s="46">
        <f t="shared" si="7"/>
        <v>150</v>
      </c>
      <c r="P13" s="67">
        <f>SUM(E13:O13)</f>
        <v>17194</v>
      </c>
      <c r="Q13" s="375">
        <v>1228</v>
      </c>
      <c r="R13" s="416">
        <v>746</v>
      </c>
      <c r="S13" s="416">
        <v>391</v>
      </c>
      <c r="T13" s="376">
        <v>294</v>
      </c>
      <c r="U13" s="376">
        <v>380</v>
      </c>
      <c r="V13" s="377">
        <v>493</v>
      </c>
      <c r="W13" s="377">
        <v>53</v>
      </c>
      <c r="X13" s="377">
        <v>82</v>
      </c>
      <c r="Y13" s="378">
        <v>85</v>
      </c>
      <c r="Z13" s="378">
        <v>33</v>
      </c>
      <c r="AA13" s="378">
        <v>59</v>
      </c>
      <c r="AB13" s="263">
        <f>SUM(Q13:AA13)</f>
        <v>3844</v>
      </c>
      <c r="AC13" s="375">
        <v>4643</v>
      </c>
      <c r="AD13" s="416">
        <v>2132</v>
      </c>
      <c r="AE13" s="416">
        <v>1358</v>
      </c>
      <c r="AF13" s="376">
        <v>1488</v>
      </c>
      <c r="AG13" s="376">
        <v>1565</v>
      </c>
      <c r="AH13" s="377">
        <v>1624</v>
      </c>
      <c r="AI13" s="377">
        <v>78</v>
      </c>
      <c r="AJ13" s="377">
        <v>286</v>
      </c>
      <c r="AK13" s="377">
        <v>55</v>
      </c>
      <c r="AL13" s="377">
        <v>30</v>
      </c>
      <c r="AM13" s="379">
        <v>91</v>
      </c>
      <c r="AN13" s="263">
        <f>SUM(AC13:AM13)</f>
        <v>13350</v>
      </c>
      <c r="AP13" s="8">
        <f>IF(AB13+AN13=P13,"","ｴﾗｰ")</f>
      </c>
    </row>
    <row r="14" spans="1:40" s="8" customFormat="1" ht="21" customHeight="1">
      <c r="A14" s="9"/>
      <c r="B14" s="625"/>
      <c r="C14" s="814" t="s">
        <v>28</v>
      </c>
      <c r="D14" s="815"/>
      <c r="E14" s="41">
        <f aca="true" t="shared" si="8" ref="E14:O15">Q14+AC14</f>
        <v>3272</v>
      </c>
      <c r="F14" s="52">
        <f t="shared" si="8"/>
        <v>1659</v>
      </c>
      <c r="G14" s="53">
        <f t="shared" si="8"/>
        <v>1229</v>
      </c>
      <c r="H14" s="52">
        <f t="shared" si="8"/>
        <v>1208</v>
      </c>
      <c r="I14" s="52">
        <f t="shared" si="8"/>
        <v>1181</v>
      </c>
      <c r="J14" s="54">
        <f t="shared" si="8"/>
        <v>1390</v>
      </c>
      <c r="K14" s="54">
        <f t="shared" si="8"/>
        <v>77</v>
      </c>
      <c r="L14" s="54">
        <f t="shared" si="8"/>
        <v>162</v>
      </c>
      <c r="M14" s="52">
        <f t="shared" si="8"/>
        <v>60</v>
      </c>
      <c r="N14" s="52">
        <f t="shared" si="8"/>
        <v>60</v>
      </c>
      <c r="O14" s="256">
        <f t="shared" si="8"/>
        <v>74</v>
      </c>
      <c r="P14" s="57">
        <f t="shared" si="1"/>
        <v>10372</v>
      </c>
      <c r="Q14" s="380">
        <v>745</v>
      </c>
      <c r="R14" s="417">
        <v>522</v>
      </c>
      <c r="S14" s="417">
        <v>358</v>
      </c>
      <c r="T14" s="381">
        <v>274</v>
      </c>
      <c r="U14" s="381">
        <v>273</v>
      </c>
      <c r="V14" s="382">
        <v>404</v>
      </c>
      <c r="W14" s="382">
        <v>30</v>
      </c>
      <c r="X14" s="382">
        <v>45</v>
      </c>
      <c r="Y14" s="383">
        <v>48</v>
      </c>
      <c r="Z14" s="383">
        <v>26</v>
      </c>
      <c r="AA14" s="383">
        <v>34</v>
      </c>
      <c r="AB14" s="271">
        <f t="shared" si="2"/>
        <v>2759</v>
      </c>
      <c r="AC14" s="380">
        <v>2527</v>
      </c>
      <c r="AD14" s="417">
        <v>1137</v>
      </c>
      <c r="AE14" s="417">
        <v>871</v>
      </c>
      <c r="AF14" s="381">
        <v>934</v>
      </c>
      <c r="AG14" s="381">
        <v>908</v>
      </c>
      <c r="AH14" s="382">
        <v>986</v>
      </c>
      <c r="AI14" s="382">
        <v>47</v>
      </c>
      <c r="AJ14" s="382">
        <v>117</v>
      </c>
      <c r="AK14" s="382">
        <v>12</v>
      </c>
      <c r="AL14" s="382">
        <v>34</v>
      </c>
      <c r="AM14" s="392">
        <v>40</v>
      </c>
      <c r="AN14" s="271">
        <f t="shared" si="3"/>
        <v>7613</v>
      </c>
    </row>
    <row r="15" spans="1:40" s="8" customFormat="1" ht="21" customHeight="1" thickBot="1">
      <c r="A15" s="9"/>
      <c r="B15" s="625"/>
      <c r="C15" s="804" t="s">
        <v>29</v>
      </c>
      <c r="D15" s="805"/>
      <c r="E15" s="68">
        <f t="shared" si="8"/>
        <v>399</v>
      </c>
      <c r="F15" s="69">
        <f t="shared" si="8"/>
        <v>220</v>
      </c>
      <c r="G15" s="70">
        <f t="shared" si="8"/>
        <v>127</v>
      </c>
      <c r="H15" s="69">
        <f t="shared" si="8"/>
        <v>123</v>
      </c>
      <c r="I15" s="69">
        <f t="shared" si="8"/>
        <v>166</v>
      </c>
      <c r="J15" s="69">
        <f t="shared" si="8"/>
        <v>175</v>
      </c>
      <c r="K15" s="69">
        <f t="shared" si="8"/>
        <v>27</v>
      </c>
      <c r="L15" s="69">
        <f t="shared" si="8"/>
        <v>38</v>
      </c>
      <c r="M15" s="71">
        <f t="shared" si="8"/>
        <v>8</v>
      </c>
      <c r="N15" s="71">
        <f t="shared" si="8"/>
        <v>13</v>
      </c>
      <c r="O15" s="72">
        <f t="shared" si="8"/>
        <v>12</v>
      </c>
      <c r="P15" s="66">
        <f t="shared" si="1"/>
        <v>1308</v>
      </c>
      <c r="Q15" s="395">
        <v>85</v>
      </c>
      <c r="R15" s="396">
        <v>67</v>
      </c>
      <c r="S15" s="396">
        <v>35</v>
      </c>
      <c r="T15" s="396">
        <v>20</v>
      </c>
      <c r="U15" s="396">
        <v>40</v>
      </c>
      <c r="V15" s="396">
        <v>38</v>
      </c>
      <c r="W15" s="396">
        <v>8</v>
      </c>
      <c r="X15" s="396">
        <v>8</v>
      </c>
      <c r="Y15" s="396">
        <v>5</v>
      </c>
      <c r="Z15" s="396">
        <v>2</v>
      </c>
      <c r="AA15" s="396">
        <v>9</v>
      </c>
      <c r="AB15" s="276">
        <f t="shared" si="2"/>
        <v>317</v>
      </c>
      <c r="AC15" s="395">
        <v>314</v>
      </c>
      <c r="AD15" s="396">
        <v>153</v>
      </c>
      <c r="AE15" s="396">
        <v>92</v>
      </c>
      <c r="AF15" s="396">
        <v>103</v>
      </c>
      <c r="AG15" s="396">
        <v>126</v>
      </c>
      <c r="AH15" s="396">
        <v>137</v>
      </c>
      <c r="AI15" s="396">
        <v>19</v>
      </c>
      <c r="AJ15" s="396">
        <v>30</v>
      </c>
      <c r="AK15" s="397">
        <v>3</v>
      </c>
      <c r="AL15" s="397">
        <v>11</v>
      </c>
      <c r="AM15" s="396">
        <v>3</v>
      </c>
      <c r="AN15" s="276">
        <f t="shared" si="3"/>
        <v>991</v>
      </c>
    </row>
    <row r="16" spans="1:40" s="8" customFormat="1" ht="21" customHeight="1" thickBot="1" thickTop="1">
      <c r="A16" s="9"/>
      <c r="B16" s="626"/>
      <c r="C16" s="812" t="s">
        <v>7</v>
      </c>
      <c r="D16" s="813"/>
      <c r="E16" s="47">
        <f>SUM(E13:E15)</f>
        <v>9542</v>
      </c>
      <c r="F16" s="48">
        <f aca="true" t="shared" si="9" ref="F16:AN16">SUM(F13:F15)</f>
        <v>4757</v>
      </c>
      <c r="G16" s="49">
        <f t="shared" si="9"/>
        <v>3105</v>
      </c>
      <c r="H16" s="48">
        <f t="shared" si="9"/>
        <v>3113</v>
      </c>
      <c r="I16" s="48">
        <f t="shared" si="9"/>
        <v>3292</v>
      </c>
      <c r="J16" s="50">
        <f t="shared" si="9"/>
        <v>3682</v>
      </c>
      <c r="K16" s="50">
        <f t="shared" si="9"/>
        <v>235</v>
      </c>
      <c r="L16" s="50">
        <f t="shared" si="9"/>
        <v>568</v>
      </c>
      <c r="M16" s="50">
        <f t="shared" si="9"/>
        <v>208</v>
      </c>
      <c r="N16" s="50">
        <f t="shared" si="9"/>
        <v>136</v>
      </c>
      <c r="O16" s="51">
        <f t="shared" si="9"/>
        <v>236</v>
      </c>
      <c r="P16" s="57">
        <f t="shared" si="9"/>
        <v>28874</v>
      </c>
      <c r="Q16" s="265">
        <f t="shared" si="9"/>
        <v>2058</v>
      </c>
      <c r="R16" s="282">
        <f t="shared" si="9"/>
        <v>1335</v>
      </c>
      <c r="S16" s="282">
        <f t="shared" si="9"/>
        <v>784</v>
      </c>
      <c r="T16" s="266">
        <f t="shared" si="9"/>
        <v>588</v>
      </c>
      <c r="U16" s="266">
        <f t="shared" si="9"/>
        <v>693</v>
      </c>
      <c r="V16" s="267">
        <f t="shared" si="9"/>
        <v>935</v>
      </c>
      <c r="W16" s="267">
        <f t="shared" si="9"/>
        <v>91</v>
      </c>
      <c r="X16" s="267">
        <f t="shared" si="9"/>
        <v>135</v>
      </c>
      <c r="Y16" s="267">
        <f t="shared" si="9"/>
        <v>138</v>
      </c>
      <c r="Z16" s="267">
        <f t="shared" si="9"/>
        <v>61</v>
      </c>
      <c r="AA16" s="267">
        <f t="shared" si="9"/>
        <v>102</v>
      </c>
      <c r="AB16" s="269">
        <f t="shared" si="9"/>
        <v>6920</v>
      </c>
      <c r="AC16" s="265">
        <f t="shared" si="9"/>
        <v>7484</v>
      </c>
      <c r="AD16" s="282">
        <f t="shared" si="9"/>
        <v>3422</v>
      </c>
      <c r="AE16" s="282">
        <f t="shared" si="9"/>
        <v>2321</v>
      </c>
      <c r="AF16" s="266">
        <f t="shared" si="9"/>
        <v>2525</v>
      </c>
      <c r="AG16" s="266">
        <f t="shared" si="9"/>
        <v>2599</v>
      </c>
      <c r="AH16" s="267">
        <f t="shared" si="9"/>
        <v>2747</v>
      </c>
      <c r="AI16" s="267">
        <f t="shared" si="9"/>
        <v>144</v>
      </c>
      <c r="AJ16" s="267">
        <f t="shared" si="9"/>
        <v>433</v>
      </c>
      <c r="AK16" s="267">
        <f t="shared" si="9"/>
        <v>70</v>
      </c>
      <c r="AL16" s="267">
        <f t="shared" si="9"/>
        <v>75</v>
      </c>
      <c r="AM16" s="267">
        <f t="shared" si="9"/>
        <v>134</v>
      </c>
      <c r="AN16" s="269">
        <f t="shared" si="9"/>
        <v>21954</v>
      </c>
    </row>
    <row r="17" spans="1:40" s="8" customFormat="1" ht="21" customHeight="1">
      <c r="A17" s="9"/>
      <c r="B17" s="646" t="s">
        <v>43</v>
      </c>
      <c r="C17" s="816" t="s">
        <v>8</v>
      </c>
      <c r="D17" s="817"/>
      <c r="E17" s="58">
        <f aca="true" t="shared" si="10" ref="E17:O18">Q17+AC17</f>
        <v>7146</v>
      </c>
      <c r="F17" s="59">
        <f t="shared" si="10"/>
        <v>3538</v>
      </c>
      <c r="G17" s="60">
        <f t="shared" si="10"/>
        <v>2201</v>
      </c>
      <c r="H17" s="59">
        <f t="shared" si="10"/>
        <v>2122</v>
      </c>
      <c r="I17" s="59">
        <f t="shared" si="10"/>
        <v>2338</v>
      </c>
      <c r="J17" s="61">
        <f t="shared" si="10"/>
        <v>2598</v>
      </c>
      <c r="K17" s="61">
        <f t="shared" si="10"/>
        <v>130</v>
      </c>
      <c r="L17" s="61">
        <f t="shared" si="10"/>
        <v>530</v>
      </c>
      <c r="M17" s="61">
        <f t="shared" si="10"/>
        <v>131</v>
      </c>
      <c r="N17" s="61">
        <f t="shared" si="10"/>
        <v>129</v>
      </c>
      <c r="O17" s="73">
        <f t="shared" si="10"/>
        <v>66</v>
      </c>
      <c r="P17" s="67">
        <f t="shared" si="1"/>
        <v>20929</v>
      </c>
      <c r="Q17" s="420">
        <v>1504</v>
      </c>
      <c r="R17" s="421">
        <v>1005</v>
      </c>
      <c r="S17" s="404">
        <v>561</v>
      </c>
      <c r="T17" s="399">
        <v>369</v>
      </c>
      <c r="U17" s="399">
        <v>506</v>
      </c>
      <c r="V17" s="399">
        <v>628</v>
      </c>
      <c r="W17" s="399">
        <v>52</v>
      </c>
      <c r="X17" s="399">
        <v>130</v>
      </c>
      <c r="Y17" s="376">
        <v>90</v>
      </c>
      <c r="Z17" s="376">
        <v>51</v>
      </c>
      <c r="AA17" s="400">
        <v>38</v>
      </c>
      <c r="AB17" s="271">
        <f t="shared" si="2"/>
        <v>4934</v>
      </c>
      <c r="AC17" s="420">
        <v>5642</v>
      </c>
      <c r="AD17" s="421">
        <v>2533</v>
      </c>
      <c r="AE17" s="404">
        <v>1640</v>
      </c>
      <c r="AF17" s="399">
        <v>1753</v>
      </c>
      <c r="AG17" s="399">
        <v>1832</v>
      </c>
      <c r="AH17" s="399">
        <v>1970</v>
      </c>
      <c r="AI17" s="399">
        <v>78</v>
      </c>
      <c r="AJ17" s="399">
        <v>400</v>
      </c>
      <c r="AK17" s="397">
        <v>41</v>
      </c>
      <c r="AL17" s="397">
        <v>78</v>
      </c>
      <c r="AM17" s="404">
        <v>28</v>
      </c>
      <c r="AN17" s="271">
        <f t="shared" si="3"/>
        <v>15995</v>
      </c>
    </row>
    <row r="18" spans="1:40" s="8" customFormat="1" ht="21" customHeight="1" thickBot="1">
      <c r="A18" s="9"/>
      <c r="B18" s="647"/>
      <c r="C18" s="810" t="s">
        <v>9</v>
      </c>
      <c r="D18" s="811"/>
      <c r="E18" s="58">
        <f t="shared" si="10"/>
        <v>1409</v>
      </c>
      <c r="F18" s="59">
        <f t="shared" si="10"/>
        <v>732</v>
      </c>
      <c r="G18" s="60">
        <f t="shared" si="10"/>
        <v>510</v>
      </c>
      <c r="H18" s="59">
        <f t="shared" si="10"/>
        <v>534</v>
      </c>
      <c r="I18" s="59">
        <f t="shared" si="10"/>
        <v>484</v>
      </c>
      <c r="J18" s="61">
        <f t="shared" si="10"/>
        <v>488</v>
      </c>
      <c r="K18" s="61">
        <f t="shared" si="10"/>
        <v>46</v>
      </c>
      <c r="L18" s="61">
        <f t="shared" si="10"/>
        <v>45</v>
      </c>
      <c r="M18" s="61">
        <f t="shared" si="10"/>
        <v>30</v>
      </c>
      <c r="N18" s="61">
        <f t="shared" si="10"/>
        <v>12</v>
      </c>
      <c r="O18" s="73">
        <f t="shared" si="10"/>
        <v>27</v>
      </c>
      <c r="P18" s="66">
        <f t="shared" si="1"/>
        <v>4317</v>
      </c>
      <c r="Q18" s="384">
        <v>326</v>
      </c>
      <c r="R18" s="385">
        <v>218</v>
      </c>
      <c r="S18" s="418">
        <v>132</v>
      </c>
      <c r="T18" s="385">
        <v>115</v>
      </c>
      <c r="U18" s="385">
        <v>91</v>
      </c>
      <c r="V18" s="386">
        <v>119</v>
      </c>
      <c r="W18" s="386">
        <v>15</v>
      </c>
      <c r="X18" s="386">
        <v>11</v>
      </c>
      <c r="Y18" s="387">
        <v>19</v>
      </c>
      <c r="Z18" s="387">
        <v>6</v>
      </c>
      <c r="AA18" s="387">
        <v>11</v>
      </c>
      <c r="AB18" s="271">
        <f t="shared" si="2"/>
        <v>1063</v>
      </c>
      <c r="AC18" s="409">
        <v>1083</v>
      </c>
      <c r="AD18" s="415">
        <v>514</v>
      </c>
      <c r="AE18" s="418">
        <v>378</v>
      </c>
      <c r="AF18" s="385">
        <v>419</v>
      </c>
      <c r="AG18" s="385">
        <v>393</v>
      </c>
      <c r="AH18" s="386">
        <v>369</v>
      </c>
      <c r="AI18" s="386">
        <v>31</v>
      </c>
      <c r="AJ18" s="386">
        <v>34</v>
      </c>
      <c r="AK18" s="386">
        <v>11</v>
      </c>
      <c r="AL18" s="386">
        <v>6</v>
      </c>
      <c r="AM18" s="393">
        <v>16</v>
      </c>
      <c r="AN18" s="271">
        <f t="shared" si="3"/>
        <v>3254</v>
      </c>
    </row>
    <row r="19" spans="2:43" s="9" customFormat="1" ht="21" customHeight="1" thickBot="1" thickTop="1">
      <c r="B19" s="648"/>
      <c r="C19" s="812" t="s">
        <v>7</v>
      </c>
      <c r="D19" s="813"/>
      <c r="E19" s="47">
        <f aca="true" t="shared" si="11" ref="E19:O19">E17+E18</f>
        <v>8555</v>
      </c>
      <c r="F19" s="48">
        <f>F17+F18</f>
        <v>4270</v>
      </c>
      <c r="G19" s="49">
        <f>G17+G18</f>
        <v>2711</v>
      </c>
      <c r="H19" s="48">
        <f t="shared" si="11"/>
        <v>2656</v>
      </c>
      <c r="I19" s="48">
        <f t="shared" si="11"/>
        <v>2822</v>
      </c>
      <c r="J19" s="48">
        <f t="shared" si="11"/>
        <v>3086</v>
      </c>
      <c r="K19" s="48">
        <f t="shared" si="11"/>
        <v>176</v>
      </c>
      <c r="L19" s="48">
        <f t="shared" si="11"/>
        <v>575</v>
      </c>
      <c r="M19" s="48">
        <f t="shared" si="11"/>
        <v>161</v>
      </c>
      <c r="N19" s="48">
        <f t="shared" si="11"/>
        <v>141</v>
      </c>
      <c r="O19" s="74">
        <f t="shared" si="11"/>
        <v>93</v>
      </c>
      <c r="P19" s="57">
        <f t="shared" si="1"/>
        <v>25246</v>
      </c>
      <c r="Q19" s="265">
        <f aca="true" t="shared" si="12" ref="Q19:AJ19">Q17+Q18</f>
        <v>1830</v>
      </c>
      <c r="R19" s="266">
        <f t="shared" si="12"/>
        <v>1223</v>
      </c>
      <c r="S19" s="308">
        <f t="shared" si="12"/>
        <v>693</v>
      </c>
      <c r="T19" s="266">
        <f t="shared" si="12"/>
        <v>484</v>
      </c>
      <c r="U19" s="266">
        <f t="shared" si="12"/>
        <v>597</v>
      </c>
      <c r="V19" s="266">
        <f t="shared" si="12"/>
        <v>747</v>
      </c>
      <c r="W19" s="266">
        <f t="shared" si="12"/>
        <v>67</v>
      </c>
      <c r="X19" s="266">
        <f t="shared" si="12"/>
        <v>141</v>
      </c>
      <c r="Y19" s="266">
        <f t="shared" si="12"/>
        <v>109</v>
      </c>
      <c r="Z19" s="266">
        <f t="shared" si="12"/>
        <v>57</v>
      </c>
      <c r="AA19" s="266">
        <f t="shared" si="12"/>
        <v>49</v>
      </c>
      <c r="AB19" s="280">
        <f t="shared" si="12"/>
        <v>5997</v>
      </c>
      <c r="AC19" s="265">
        <f t="shared" si="12"/>
        <v>6725</v>
      </c>
      <c r="AD19" s="282">
        <f t="shared" si="12"/>
        <v>3047</v>
      </c>
      <c r="AE19" s="308">
        <f t="shared" si="12"/>
        <v>2018</v>
      </c>
      <c r="AF19" s="266">
        <f t="shared" si="12"/>
        <v>2172</v>
      </c>
      <c r="AG19" s="266">
        <f t="shared" si="12"/>
        <v>2225</v>
      </c>
      <c r="AH19" s="266">
        <f t="shared" si="12"/>
        <v>2339</v>
      </c>
      <c r="AI19" s="266">
        <f t="shared" si="12"/>
        <v>109</v>
      </c>
      <c r="AJ19" s="266">
        <f t="shared" si="12"/>
        <v>434</v>
      </c>
      <c r="AK19" s="266">
        <f>AK17+AK18</f>
        <v>52</v>
      </c>
      <c r="AL19" s="266">
        <f>AL17+AL18</f>
        <v>84</v>
      </c>
      <c r="AM19" s="266">
        <f>AM17+AM18</f>
        <v>44</v>
      </c>
      <c r="AN19" s="280">
        <f>AN17+AN18</f>
        <v>19249</v>
      </c>
      <c r="AQ19" s="8"/>
    </row>
    <row r="20" spans="2:43" s="9" customFormat="1" ht="21" customHeight="1">
      <c r="B20" s="646" t="s">
        <v>45</v>
      </c>
      <c r="C20" s="800" t="s">
        <v>13</v>
      </c>
      <c r="D20" s="801"/>
      <c r="E20" s="41">
        <f aca="true" t="shared" si="13" ref="E20:O22">Q20+AC20</f>
        <v>1160</v>
      </c>
      <c r="F20" s="52">
        <f t="shared" si="13"/>
        <v>532</v>
      </c>
      <c r="G20" s="53">
        <f t="shared" si="13"/>
        <v>370</v>
      </c>
      <c r="H20" s="52">
        <f t="shared" si="13"/>
        <v>426</v>
      </c>
      <c r="I20" s="52">
        <f t="shared" si="13"/>
        <v>346</v>
      </c>
      <c r="J20" s="54">
        <f t="shared" si="13"/>
        <v>405</v>
      </c>
      <c r="K20" s="54">
        <f t="shared" si="13"/>
        <v>56</v>
      </c>
      <c r="L20" s="54">
        <f t="shared" si="13"/>
        <v>100</v>
      </c>
      <c r="M20" s="44">
        <f t="shared" si="13"/>
        <v>13</v>
      </c>
      <c r="N20" s="44">
        <f t="shared" si="13"/>
        <v>16</v>
      </c>
      <c r="O20" s="46">
        <f t="shared" si="13"/>
        <v>24</v>
      </c>
      <c r="P20" s="67">
        <f t="shared" si="1"/>
        <v>3448</v>
      </c>
      <c r="Q20" s="375">
        <v>232</v>
      </c>
      <c r="R20" s="416">
        <v>161</v>
      </c>
      <c r="S20" s="416">
        <v>95</v>
      </c>
      <c r="T20" s="376">
        <v>91</v>
      </c>
      <c r="U20" s="376">
        <v>75</v>
      </c>
      <c r="V20" s="377">
        <v>0</v>
      </c>
      <c r="W20" s="377">
        <v>13</v>
      </c>
      <c r="X20" s="377">
        <v>21</v>
      </c>
      <c r="Y20" s="378">
        <v>4</v>
      </c>
      <c r="Z20" s="378">
        <v>7</v>
      </c>
      <c r="AA20" s="378">
        <v>8</v>
      </c>
      <c r="AB20" s="271">
        <f>SUM(Q20:AA20)</f>
        <v>707</v>
      </c>
      <c r="AC20" s="375">
        <v>928</v>
      </c>
      <c r="AD20" s="416">
        <v>371</v>
      </c>
      <c r="AE20" s="416">
        <v>275</v>
      </c>
      <c r="AF20" s="376">
        <v>335</v>
      </c>
      <c r="AG20" s="376">
        <v>271</v>
      </c>
      <c r="AH20" s="377">
        <v>405</v>
      </c>
      <c r="AI20" s="377">
        <v>43</v>
      </c>
      <c r="AJ20" s="377">
        <v>79</v>
      </c>
      <c r="AK20" s="377">
        <v>9</v>
      </c>
      <c r="AL20" s="377">
        <v>9</v>
      </c>
      <c r="AM20" s="407">
        <v>16</v>
      </c>
      <c r="AN20" s="271">
        <f>SUM(AC20:AM20)</f>
        <v>2741</v>
      </c>
      <c r="AQ20" s="8"/>
    </row>
    <row r="21" spans="1:40" s="8" customFormat="1" ht="21" customHeight="1">
      <c r="A21" s="9"/>
      <c r="B21" s="647"/>
      <c r="C21" s="802" t="s">
        <v>14</v>
      </c>
      <c r="D21" s="803"/>
      <c r="E21" s="41">
        <f t="shared" si="13"/>
        <v>63</v>
      </c>
      <c r="F21" s="52">
        <f t="shared" si="13"/>
        <v>38</v>
      </c>
      <c r="G21" s="53">
        <f t="shared" si="13"/>
        <v>43</v>
      </c>
      <c r="H21" s="52">
        <f t="shared" si="13"/>
        <v>44</v>
      </c>
      <c r="I21" s="52">
        <f t="shared" si="13"/>
        <v>21</v>
      </c>
      <c r="J21" s="54">
        <f t="shared" si="13"/>
        <v>44</v>
      </c>
      <c r="K21" s="54">
        <f t="shared" si="13"/>
        <v>16</v>
      </c>
      <c r="L21" s="54">
        <f t="shared" si="13"/>
        <v>11</v>
      </c>
      <c r="M21" s="61">
        <f t="shared" si="13"/>
        <v>0</v>
      </c>
      <c r="N21" s="61">
        <f t="shared" si="13"/>
        <v>0</v>
      </c>
      <c r="O21" s="73">
        <f t="shared" si="13"/>
        <v>1</v>
      </c>
      <c r="P21" s="62">
        <f t="shared" si="1"/>
        <v>281</v>
      </c>
      <c r="Q21" s="384">
        <v>19</v>
      </c>
      <c r="R21" s="418">
        <v>13</v>
      </c>
      <c r="S21" s="418">
        <v>16</v>
      </c>
      <c r="T21" s="385">
        <v>12</v>
      </c>
      <c r="U21" s="385">
        <v>8</v>
      </c>
      <c r="V21" s="386">
        <v>10</v>
      </c>
      <c r="W21" s="386">
        <v>5</v>
      </c>
      <c r="X21" s="386">
        <v>1</v>
      </c>
      <c r="Y21" s="387">
        <v>0</v>
      </c>
      <c r="Z21" s="387">
        <v>0</v>
      </c>
      <c r="AA21" s="387">
        <v>1</v>
      </c>
      <c r="AB21" s="271">
        <f>SUM(Q21:AA21)</f>
        <v>85</v>
      </c>
      <c r="AC21" s="384">
        <v>44</v>
      </c>
      <c r="AD21" s="418">
        <v>25</v>
      </c>
      <c r="AE21" s="418">
        <v>27</v>
      </c>
      <c r="AF21" s="385">
        <v>32</v>
      </c>
      <c r="AG21" s="385">
        <v>13</v>
      </c>
      <c r="AH21" s="386">
        <v>34</v>
      </c>
      <c r="AI21" s="386">
        <v>11</v>
      </c>
      <c r="AJ21" s="386">
        <v>10</v>
      </c>
      <c r="AK21" s="386">
        <v>0</v>
      </c>
      <c r="AL21" s="386">
        <v>0</v>
      </c>
      <c r="AM21" s="393">
        <v>0</v>
      </c>
      <c r="AN21" s="271">
        <f>SUM(AC21:AM21)</f>
        <v>196</v>
      </c>
    </row>
    <row r="22" spans="1:40" s="8" customFormat="1" ht="21" customHeight="1" thickBot="1">
      <c r="A22" s="9"/>
      <c r="B22" s="647"/>
      <c r="C22" s="804" t="s">
        <v>64</v>
      </c>
      <c r="D22" s="805"/>
      <c r="E22" s="68">
        <f t="shared" si="13"/>
        <v>153</v>
      </c>
      <c r="F22" s="69">
        <f>R22+AD22</f>
        <v>72</v>
      </c>
      <c r="G22" s="70">
        <f>S22+AE22</f>
        <v>77</v>
      </c>
      <c r="H22" s="69">
        <f>T22+AF22</f>
        <v>97</v>
      </c>
      <c r="I22" s="69">
        <f>U22+AG22</f>
        <v>55</v>
      </c>
      <c r="J22" s="75">
        <f t="shared" si="13"/>
        <v>65</v>
      </c>
      <c r="K22" s="75">
        <f t="shared" si="13"/>
        <v>12</v>
      </c>
      <c r="L22" s="75">
        <f t="shared" si="13"/>
        <v>9</v>
      </c>
      <c r="M22" s="76">
        <f t="shared" si="13"/>
        <v>1</v>
      </c>
      <c r="N22" s="76">
        <f t="shared" si="13"/>
        <v>1</v>
      </c>
      <c r="O22" s="77">
        <f t="shared" si="13"/>
        <v>0</v>
      </c>
      <c r="P22" s="66">
        <f t="shared" si="1"/>
        <v>542</v>
      </c>
      <c r="Q22" s="388">
        <v>38</v>
      </c>
      <c r="R22" s="419">
        <v>19</v>
      </c>
      <c r="S22" s="419">
        <v>19</v>
      </c>
      <c r="T22" s="389">
        <v>24</v>
      </c>
      <c r="U22" s="389">
        <v>15</v>
      </c>
      <c r="V22" s="405">
        <v>18</v>
      </c>
      <c r="W22" s="405">
        <v>6</v>
      </c>
      <c r="X22" s="405">
        <v>4</v>
      </c>
      <c r="Y22" s="406">
        <v>1</v>
      </c>
      <c r="Z22" s="406">
        <v>1</v>
      </c>
      <c r="AA22" s="406">
        <v>0</v>
      </c>
      <c r="AB22" s="276">
        <f>SUM(Q22:AA22)</f>
        <v>145</v>
      </c>
      <c r="AC22" s="388">
        <v>115</v>
      </c>
      <c r="AD22" s="419">
        <v>53</v>
      </c>
      <c r="AE22" s="419">
        <v>58</v>
      </c>
      <c r="AF22" s="389">
        <v>73</v>
      </c>
      <c r="AG22" s="389">
        <v>40</v>
      </c>
      <c r="AH22" s="405">
        <v>47</v>
      </c>
      <c r="AI22" s="405">
        <v>6</v>
      </c>
      <c r="AJ22" s="405">
        <v>5</v>
      </c>
      <c r="AK22" s="405">
        <v>0</v>
      </c>
      <c r="AL22" s="405">
        <v>0</v>
      </c>
      <c r="AM22" s="408">
        <v>0</v>
      </c>
      <c r="AN22" s="276">
        <f>SUM(AC22:AM22)</f>
        <v>397</v>
      </c>
    </row>
    <row r="23" spans="1:40" s="8" customFormat="1" ht="21" customHeight="1" thickBot="1" thickTop="1">
      <c r="A23" s="9"/>
      <c r="B23" s="648"/>
      <c r="C23" s="806" t="s">
        <v>7</v>
      </c>
      <c r="D23" s="807"/>
      <c r="E23" s="47">
        <f aca="true" t="shared" si="14" ref="E23:O23">SUM(E20:E22)</f>
        <v>1376</v>
      </c>
      <c r="F23" s="48">
        <f>SUM(F20:F22)</f>
        <v>642</v>
      </c>
      <c r="G23" s="49">
        <f>SUM(G20:G22)</f>
        <v>490</v>
      </c>
      <c r="H23" s="48">
        <f t="shared" si="14"/>
        <v>567</v>
      </c>
      <c r="I23" s="48">
        <f t="shared" si="14"/>
        <v>422</v>
      </c>
      <c r="J23" s="48">
        <f t="shared" si="14"/>
        <v>514</v>
      </c>
      <c r="K23" s="48">
        <f t="shared" si="14"/>
        <v>84</v>
      </c>
      <c r="L23" s="48">
        <f t="shared" si="14"/>
        <v>120</v>
      </c>
      <c r="M23" s="48">
        <f t="shared" si="14"/>
        <v>14</v>
      </c>
      <c r="N23" s="48">
        <f t="shared" si="14"/>
        <v>17</v>
      </c>
      <c r="O23" s="74">
        <f t="shared" si="14"/>
        <v>25</v>
      </c>
      <c r="P23" s="57">
        <f t="shared" si="1"/>
        <v>4271</v>
      </c>
      <c r="Q23" s="265">
        <f aca="true" t="shared" si="15" ref="Q23:AI23">SUM(Q20:Q22)</f>
        <v>289</v>
      </c>
      <c r="R23" s="282">
        <f t="shared" si="15"/>
        <v>193</v>
      </c>
      <c r="S23" s="282">
        <f t="shared" si="15"/>
        <v>130</v>
      </c>
      <c r="T23" s="282">
        <f t="shared" si="15"/>
        <v>127</v>
      </c>
      <c r="U23" s="282">
        <f t="shared" si="15"/>
        <v>98</v>
      </c>
      <c r="V23" s="282">
        <f t="shared" si="15"/>
        <v>28</v>
      </c>
      <c r="W23" s="282">
        <f t="shared" si="15"/>
        <v>24</v>
      </c>
      <c r="X23" s="282">
        <f t="shared" si="15"/>
        <v>26</v>
      </c>
      <c r="Y23" s="282">
        <f t="shared" si="15"/>
        <v>5</v>
      </c>
      <c r="Z23" s="282">
        <f t="shared" si="15"/>
        <v>8</v>
      </c>
      <c r="AA23" s="282">
        <f t="shared" si="15"/>
        <v>9</v>
      </c>
      <c r="AB23" s="269">
        <f t="shared" si="15"/>
        <v>937</v>
      </c>
      <c r="AC23" s="265">
        <f t="shared" si="15"/>
        <v>1087</v>
      </c>
      <c r="AD23" s="282">
        <f t="shared" si="15"/>
        <v>449</v>
      </c>
      <c r="AE23" s="282">
        <f t="shared" si="15"/>
        <v>360</v>
      </c>
      <c r="AF23" s="282">
        <f t="shared" si="15"/>
        <v>440</v>
      </c>
      <c r="AG23" s="282">
        <f t="shared" si="15"/>
        <v>324</v>
      </c>
      <c r="AH23" s="282">
        <f t="shared" si="15"/>
        <v>486</v>
      </c>
      <c r="AI23" s="282">
        <f t="shared" si="15"/>
        <v>60</v>
      </c>
      <c r="AJ23" s="282">
        <f>SUM(AJ20:AJ22)</f>
        <v>94</v>
      </c>
      <c r="AK23" s="282">
        <f>SUM(AK20:AK22)</f>
        <v>9</v>
      </c>
      <c r="AL23" s="282">
        <f>SUM(AL20:AL22)</f>
        <v>9</v>
      </c>
      <c r="AM23" s="282">
        <f>SUM(AM20:AM22)</f>
        <v>16</v>
      </c>
      <c r="AN23" s="269">
        <f>SUM(AN20:AN22)</f>
        <v>3334</v>
      </c>
    </row>
    <row r="24" spans="1:40" s="8" customFormat="1" ht="21" customHeight="1">
      <c r="A24" s="9"/>
      <c r="B24" s="646" t="s">
        <v>46</v>
      </c>
      <c r="C24" s="800" t="s">
        <v>15</v>
      </c>
      <c r="D24" s="801"/>
      <c r="E24" s="78">
        <f aca="true" t="shared" si="16" ref="E24:O27">Q24+AC24</f>
        <v>1101</v>
      </c>
      <c r="F24" s="42">
        <f t="shared" si="16"/>
        <v>548</v>
      </c>
      <c r="G24" s="43">
        <f t="shared" si="16"/>
        <v>417</v>
      </c>
      <c r="H24" s="42">
        <f t="shared" si="16"/>
        <v>381</v>
      </c>
      <c r="I24" s="42">
        <f t="shared" si="16"/>
        <v>406</v>
      </c>
      <c r="J24" s="44">
        <f t="shared" si="16"/>
        <v>259</v>
      </c>
      <c r="K24" s="44">
        <f t="shared" si="16"/>
        <v>27</v>
      </c>
      <c r="L24" s="44">
        <f t="shared" si="16"/>
        <v>33</v>
      </c>
      <c r="M24" s="44">
        <f t="shared" si="16"/>
        <v>11</v>
      </c>
      <c r="N24" s="44">
        <f t="shared" si="16"/>
        <v>11</v>
      </c>
      <c r="O24" s="46">
        <f t="shared" si="16"/>
        <v>26</v>
      </c>
      <c r="P24" s="67">
        <f t="shared" si="1"/>
        <v>3220</v>
      </c>
      <c r="Q24" s="375">
        <v>235</v>
      </c>
      <c r="R24" s="416">
        <v>184</v>
      </c>
      <c r="S24" s="416">
        <v>118</v>
      </c>
      <c r="T24" s="376">
        <v>73</v>
      </c>
      <c r="U24" s="376">
        <v>95</v>
      </c>
      <c r="V24" s="377">
        <v>58</v>
      </c>
      <c r="W24" s="377">
        <v>11</v>
      </c>
      <c r="X24" s="377">
        <v>6</v>
      </c>
      <c r="Y24" s="377">
        <v>7</v>
      </c>
      <c r="Z24" s="377">
        <v>6</v>
      </c>
      <c r="AA24" s="378">
        <v>10</v>
      </c>
      <c r="AB24" s="271">
        <f>SUM(Q24:AA24)</f>
        <v>803</v>
      </c>
      <c r="AC24" s="375">
        <v>866</v>
      </c>
      <c r="AD24" s="416">
        <v>364</v>
      </c>
      <c r="AE24" s="416">
        <v>299</v>
      </c>
      <c r="AF24" s="376">
        <v>308</v>
      </c>
      <c r="AG24" s="376">
        <v>311</v>
      </c>
      <c r="AH24" s="377">
        <v>201</v>
      </c>
      <c r="AI24" s="377">
        <v>16</v>
      </c>
      <c r="AJ24" s="377">
        <v>27</v>
      </c>
      <c r="AK24" s="377">
        <v>4</v>
      </c>
      <c r="AL24" s="377">
        <v>5</v>
      </c>
      <c r="AM24" s="407">
        <v>16</v>
      </c>
      <c r="AN24" s="271">
        <f>SUM(AC24:AM24)</f>
        <v>2417</v>
      </c>
    </row>
    <row r="25" spans="1:40" s="8" customFormat="1" ht="21" customHeight="1">
      <c r="A25" s="9"/>
      <c r="B25" s="647"/>
      <c r="C25" s="802" t="s">
        <v>16</v>
      </c>
      <c r="D25" s="803"/>
      <c r="E25" s="58">
        <f t="shared" si="16"/>
        <v>369</v>
      </c>
      <c r="F25" s="59">
        <f t="shared" si="16"/>
        <v>204</v>
      </c>
      <c r="G25" s="60">
        <f t="shared" si="16"/>
        <v>172</v>
      </c>
      <c r="H25" s="59">
        <f t="shared" si="16"/>
        <v>170</v>
      </c>
      <c r="I25" s="59">
        <f t="shared" si="16"/>
        <v>127</v>
      </c>
      <c r="J25" s="61">
        <f t="shared" si="16"/>
        <v>164</v>
      </c>
      <c r="K25" s="61">
        <f t="shared" si="16"/>
        <v>17</v>
      </c>
      <c r="L25" s="61">
        <f t="shared" si="16"/>
        <v>17</v>
      </c>
      <c r="M25" s="61">
        <f t="shared" si="16"/>
        <v>0</v>
      </c>
      <c r="N25" s="61">
        <f t="shared" si="16"/>
        <v>0</v>
      </c>
      <c r="O25" s="73">
        <f t="shared" si="16"/>
        <v>16</v>
      </c>
      <c r="P25" s="62">
        <f t="shared" si="1"/>
        <v>1256</v>
      </c>
      <c r="Q25" s="384">
        <v>89</v>
      </c>
      <c r="R25" s="418">
        <v>66</v>
      </c>
      <c r="S25" s="418">
        <v>48</v>
      </c>
      <c r="T25" s="385">
        <v>42</v>
      </c>
      <c r="U25" s="385">
        <v>29</v>
      </c>
      <c r="V25" s="386">
        <v>43</v>
      </c>
      <c r="W25" s="386">
        <v>4</v>
      </c>
      <c r="X25" s="386">
        <v>3</v>
      </c>
      <c r="Y25" s="386">
        <v>0</v>
      </c>
      <c r="Z25" s="386">
        <v>0</v>
      </c>
      <c r="AA25" s="387">
        <v>9</v>
      </c>
      <c r="AB25" s="271">
        <f>SUM(Q25:AA25)</f>
        <v>333</v>
      </c>
      <c r="AC25" s="384">
        <v>280</v>
      </c>
      <c r="AD25" s="418">
        <v>138</v>
      </c>
      <c r="AE25" s="418">
        <v>124</v>
      </c>
      <c r="AF25" s="385">
        <v>128</v>
      </c>
      <c r="AG25" s="385">
        <v>98</v>
      </c>
      <c r="AH25" s="386">
        <v>121</v>
      </c>
      <c r="AI25" s="386">
        <v>13</v>
      </c>
      <c r="AJ25" s="386">
        <v>14</v>
      </c>
      <c r="AK25" s="386">
        <v>0</v>
      </c>
      <c r="AL25" s="386">
        <v>0</v>
      </c>
      <c r="AM25" s="393">
        <v>7</v>
      </c>
      <c r="AN25" s="271">
        <f>SUM(AC25:AM25)</f>
        <v>923</v>
      </c>
    </row>
    <row r="26" spans="1:40" s="8" customFormat="1" ht="21" customHeight="1">
      <c r="A26" s="9"/>
      <c r="B26" s="647"/>
      <c r="C26" s="802" t="s">
        <v>17</v>
      </c>
      <c r="D26" s="803"/>
      <c r="E26" s="58">
        <f t="shared" si="16"/>
        <v>188</v>
      </c>
      <c r="F26" s="59">
        <f t="shared" si="16"/>
        <v>120</v>
      </c>
      <c r="G26" s="60">
        <f t="shared" si="16"/>
        <v>98</v>
      </c>
      <c r="H26" s="59">
        <f t="shared" si="16"/>
        <v>115</v>
      </c>
      <c r="I26" s="59">
        <f t="shared" si="16"/>
        <v>60</v>
      </c>
      <c r="J26" s="61">
        <f t="shared" si="16"/>
        <v>95</v>
      </c>
      <c r="K26" s="61">
        <f t="shared" si="16"/>
        <v>12</v>
      </c>
      <c r="L26" s="61">
        <f t="shared" si="16"/>
        <v>11</v>
      </c>
      <c r="M26" s="61">
        <f t="shared" si="16"/>
        <v>1</v>
      </c>
      <c r="N26" s="61">
        <f t="shared" si="16"/>
        <v>0</v>
      </c>
      <c r="O26" s="73">
        <f t="shared" si="16"/>
        <v>5</v>
      </c>
      <c r="P26" s="62">
        <f t="shared" si="1"/>
        <v>705</v>
      </c>
      <c r="Q26" s="384">
        <v>40</v>
      </c>
      <c r="R26" s="418">
        <v>28</v>
      </c>
      <c r="S26" s="418">
        <v>23</v>
      </c>
      <c r="T26" s="385">
        <v>25</v>
      </c>
      <c r="U26" s="385">
        <v>13</v>
      </c>
      <c r="V26" s="386">
        <v>23</v>
      </c>
      <c r="W26" s="386">
        <v>4</v>
      </c>
      <c r="X26" s="386">
        <v>2</v>
      </c>
      <c r="Y26" s="386">
        <v>1</v>
      </c>
      <c r="Z26" s="386">
        <v>0</v>
      </c>
      <c r="AA26" s="387">
        <v>4</v>
      </c>
      <c r="AB26" s="271">
        <f>SUM(Q26:AA26)</f>
        <v>163</v>
      </c>
      <c r="AC26" s="384">
        <v>148</v>
      </c>
      <c r="AD26" s="418">
        <v>92</v>
      </c>
      <c r="AE26" s="418">
        <v>75</v>
      </c>
      <c r="AF26" s="385">
        <v>90</v>
      </c>
      <c r="AG26" s="385">
        <v>47</v>
      </c>
      <c r="AH26" s="386">
        <v>72</v>
      </c>
      <c r="AI26" s="386">
        <v>8</v>
      </c>
      <c r="AJ26" s="386">
        <v>9</v>
      </c>
      <c r="AK26" s="386">
        <v>0</v>
      </c>
      <c r="AL26" s="386">
        <v>0</v>
      </c>
      <c r="AM26" s="393">
        <v>1</v>
      </c>
      <c r="AN26" s="271">
        <f>SUM(AC26:AM26)</f>
        <v>542</v>
      </c>
    </row>
    <row r="27" spans="1:40" s="8" customFormat="1" ht="21" customHeight="1" thickBot="1">
      <c r="A27" s="9"/>
      <c r="B27" s="647"/>
      <c r="C27" s="810" t="s">
        <v>18</v>
      </c>
      <c r="D27" s="811"/>
      <c r="E27" s="79">
        <f t="shared" si="16"/>
        <v>256</v>
      </c>
      <c r="F27" s="71">
        <f t="shared" si="16"/>
        <v>152</v>
      </c>
      <c r="G27" s="80">
        <f t="shared" si="16"/>
        <v>125</v>
      </c>
      <c r="H27" s="71">
        <f t="shared" si="16"/>
        <v>115</v>
      </c>
      <c r="I27" s="71">
        <f t="shared" si="16"/>
        <v>104</v>
      </c>
      <c r="J27" s="76">
        <f t="shared" si="16"/>
        <v>77</v>
      </c>
      <c r="K27" s="76">
        <f t="shared" si="16"/>
        <v>27</v>
      </c>
      <c r="L27" s="76">
        <f t="shared" si="16"/>
        <v>23</v>
      </c>
      <c r="M27" s="76">
        <f t="shared" si="16"/>
        <v>1</v>
      </c>
      <c r="N27" s="76">
        <f t="shared" si="16"/>
        <v>5</v>
      </c>
      <c r="O27" s="77">
        <f t="shared" si="16"/>
        <v>4</v>
      </c>
      <c r="P27" s="81">
        <f t="shared" si="1"/>
        <v>889</v>
      </c>
      <c r="Q27" s="388">
        <v>58</v>
      </c>
      <c r="R27" s="419">
        <v>47</v>
      </c>
      <c r="S27" s="419">
        <v>36</v>
      </c>
      <c r="T27" s="389">
        <v>21</v>
      </c>
      <c r="U27" s="389">
        <v>27</v>
      </c>
      <c r="V27" s="405">
        <v>14</v>
      </c>
      <c r="W27" s="405">
        <v>8</v>
      </c>
      <c r="X27" s="405">
        <v>4</v>
      </c>
      <c r="Y27" s="405">
        <v>1</v>
      </c>
      <c r="Z27" s="405">
        <v>2</v>
      </c>
      <c r="AA27" s="406">
        <v>2</v>
      </c>
      <c r="AB27" s="276">
        <f>SUM(Q27:AA27)</f>
        <v>220</v>
      </c>
      <c r="AC27" s="388">
        <v>198</v>
      </c>
      <c r="AD27" s="419">
        <v>105</v>
      </c>
      <c r="AE27" s="419">
        <v>89</v>
      </c>
      <c r="AF27" s="389">
        <v>94</v>
      </c>
      <c r="AG27" s="389">
        <v>77</v>
      </c>
      <c r="AH27" s="405">
        <v>63</v>
      </c>
      <c r="AI27" s="405">
        <v>19</v>
      </c>
      <c r="AJ27" s="405">
        <v>19</v>
      </c>
      <c r="AK27" s="405">
        <v>0</v>
      </c>
      <c r="AL27" s="405">
        <v>3</v>
      </c>
      <c r="AM27" s="408">
        <v>2</v>
      </c>
      <c r="AN27" s="276">
        <f>SUM(AC27:AM27)</f>
        <v>669</v>
      </c>
    </row>
    <row r="28" spans="1:40" s="8" customFormat="1" ht="21" customHeight="1" thickBot="1" thickTop="1">
      <c r="A28" s="9"/>
      <c r="B28" s="648"/>
      <c r="C28" s="812" t="s">
        <v>7</v>
      </c>
      <c r="D28" s="813"/>
      <c r="E28" s="47">
        <f aca="true" t="shared" si="17" ref="E28:O28">SUM(E24:E27)</f>
        <v>1914</v>
      </c>
      <c r="F28" s="48">
        <f>SUM(F24:F27)</f>
        <v>1024</v>
      </c>
      <c r="G28" s="49">
        <f>SUM(G24:G27)</f>
        <v>812</v>
      </c>
      <c r="H28" s="48">
        <f t="shared" si="17"/>
        <v>781</v>
      </c>
      <c r="I28" s="48">
        <f t="shared" si="17"/>
        <v>697</v>
      </c>
      <c r="J28" s="48">
        <f t="shared" si="17"/>
        <v>595</v>
      </c>
      <c r="K28" s="48">
        <f t="shared" si="17"/>
        <v>83</v>
      </c>
      <c r="L28" s="48">
        <f t="shared" si="17"/>
        <v>84</v>
      </c>
      <c r="M28" s="48">
        <f t="shared" si="17"/>
        <v>13</v>
      </c>
      <c r="N28" s="48">
        <f t="shared" si="17"/>
        <v>16</v>
      </c>
      <c r="O28" s="74">
        <f t="shared" si="17"/>
        <v>51</v>
      </c>
      <c r="P28" s="82">
        <f t="shared" si="1"/>
        <v>6070</v>
      </c>
      <c r="Q28" s="265">
        <f aca="true" t="shared" si="18" ref="Q28:X28">SUM(Q24:Q27)</f>
        <v>422</v>
      </c>
      <c r="R28" s="282">
        <f t="shared" si="18"/>
        <v>325</v>
      </c>
      <c r="S28" s="282">
        <f t="shared" si="18"/>
        <v>225</v>
      </c>
      <c r="T28" s="282">
        <f t="shared" si="18"/>
        <v>161</v>
      </c>
      <c r="U28" s="282">
        <f t="shared" si="18"/>
        <v>164</v>
      </c>
      <c r="V28" s="282">
        <f t="shared" si="18"/>
        <v>138</v>
      </c>
      <c r="W28" s="282">
        <f t="shared" si="18"/>
        <v>27</v>
      </c>
      <c r="X28" s="282">
        <f t="shared" si="18"/>
        <v>15</v>
      </c>
      <c r="Y28" s="282">
        <f>SUM(Y24:Y27)</f>
        <v>9</v>
      </c>
      <c r="Z28" s="282">
        <f>SUM(Z24:Z27)</f>
        <v>8</v>
      </c>
      <c r="AA28" s="282">
        <f>SUM(AA24:AA27)</f>
        <v>25</v>
      </c>
      <c r="AB28" s="269">
        <f aca="true" t="shared" si="19" ref="AB28:AJ28">SUM(AB24:AB27)</f>
        <v>1519</v>
      </c>
      <c r="AC28" s="265">
        <f t="shared" si="19"/>
        <v>1492</v>
      </c>
      <c r="AD28" s="282">
        <f t="shared" si="19"/>
        <v>699</v>
      </c>
      <c r="AE28" s="282">
        <f t="shared" si="19"/>
        <v>587</v>
      </c>
      <c r="AF28" s="282">
        <f t="shared" si="19"/>
        <v>620</v>
      </c>
      <c r="AG28" s="282">
        <f t="shared" si="19"/>
        <v>533</v>
      </c>
      <c r="AH28" s="282">
        <f t="shared" si="19"/>
        <v>457</v>
      </c>
      <c r="AI28" s="282">
        <f t="shared" si="19"/>
        <v>56</v>
      </c>
      <c r="AJ28" s="282">
        <f t="shared" si="19"/>
        <v>69</v>
      </c>
      <c r="AK28" s="282">
        <f>SUM(AK24:AK27)</f>
        <v>4</v>
      </c>
      <c r="AL28" s="282">
        <f>SUM(AL24:AL27)</f>
        <v>8</v>
      </c>
      <c r="AM28" s="282">
        <f>SUM(AM24:AM27)</f>
        <v>26</v>
      </c>
      <c r="AN28" s="269">
        <f>SUM(AN24:AN27)</f>
        <v>4551</v>
      </c>
    </row>
    <row r="29" spans="1:40" s="8" customFormat="1" ht="21" customHeight="1">
      <c r="A29" s="9"/>
      <c r="B29" s="646" t="s">
        <v>96</v>
      </c>
      <c r="C29" s="800" t="s">
        <v>19</v>
      </c>
      <c r="D29" s="801"/>
      <c r="E29" s="78">
        <f aca="true" t="shared" si="20" ref="E29:O34">Q29+AC29</f>
        <v>536</v>
      </c>
      <c r="F29" s="42">
        <f t="shared" si="20"/>
        <v>310</v>
      </c>
      <c r="G29" s="43">
        <f t="shared" si="20"/>
        <v>237</v>
      </c>
      <c r="H29" s="42">
        <f t="shared" si="20"/>
        <v>300</v>
      </c>
      <c r="I29" s="42">
        <f t="shared" si="20"/>
        <v>236</v>
      </c>
      <c r="J29" s="44">
        <f t="shared" si="20"/>
        <v>287</v>
      </c>
      <c r="K29" s="44">
        <f t="shared" si="20"/>
        <v>29</v>
      </c>
      <c r="L29" s="44">
        <f t="shared" si="20"/>
        <v>36</v>
      </c>
      <c r="M29" s="44">
        <f t="shared" si="20"/>
        <v>5</v>
      </c>
      <c r="N29" s="44">
        <f t="shared" si="20"/>
        <v>6</v>
      </c>
      <c r="O29" s="46">
        <f t="shared" si="20"/>
        <v>31</v>
      </c>
      <c r="P29" s="67">
        <f t="shared" si="1"/>
        <v>2013</v>
      </c>
      <c r="Q29" s="375">
        <v>114</v>
      </c>
      <c r="R29" s="416">
        <v>88</v>
      </c>
      <c r="S29" s="416">
        <v>61</v>
      </c>
      <c r="T29" s="376">
        <v>69</v>
      </c>
      <c r="U29" s="376">
        <v>51</v>
      </c>
      <c r="V29" s="377">
        <v>70</v>
      </c>
      <c r="W29" s="377">
        <v>7</v>
      </c>
      <c r="X29" s="377">
        <v>9</v>
      </c>
      <c r="Y29" s="377">
        <v>4</v>
      </c>
      <c r="Z29" s="377">
        <v>3</v>
      </c>
      <c r="AA29" s="378">
        <v>13</v>
      </c>
      <c r="AB29" s="271">
        <f aca="true" t="shared" si="21" ref="AB29:AB34">SUM(Q29:AA29)</f>
        <v>489</v>
      </c>
      <c r="AC29" s="375">
        <v>422</v>
      </c>
      <c r="AD29" s="416">
        <v>222</v>
      </c>
      <c r="AE29" s="416">
        <v>176</v>
      </c>
      <c r="AF29" s="376">
        <v>231</v>
      </c>
      <c r="AG29" s="376">
        <v>185</v>
      </c>
      <c r="AH29" s="377">
        <v>217</v>
      </c>
      <c r="AI29" s="377">
        <v>22</v>
      </c>
      <c r="AJ29" s="377">
        <v>27</v>
      </c>
      <c r="AK29" s="377">
        <v>1</v>
      </c>
      <c r="AL29" s="377">
        <v>3</v>
      </c>
      <c r="AM29" s="407">
        <v>18</v>
      </c>
      <c r="AN29" s="271">
        <f aca="true" t="shared" si="22" ref="AN29:AN34">SUM(AC29:AM29)</f>
        <v>1524</v>
      </c>
    </row>
    <row r="30" spans="1:40" s="8" customFormat="1" ht="21" customHeight="1">
      <c r="A30" s="9"/>
      <c r="B30" s="647"/>
      <c r="C30" s="802" t="s">
        <v>20</v>
      </c>
      <c r="D30" s="803"/>
      <c r="E30" s="41">
        <f t="shared" si="20"/>
        <v>127</v>
      </c>
      <c r="F30" s="52">
        <f t="shared" si="20"/>
        <v>76</v>
      </c>
      <c r="G30" s="53">
        <f t="shared" si="20"/>
        <v>63</v>
      </c>
      <c r="H30" s="52">
        <f t="shared" si="20"/>
        <v>70</v>
      </c>
      <c r="I30" s="52">
        <f t="shared" si="20"/>
        <v>66</v>
      </c>
      <c r="J30" s="54">
        <f t="shared" si="20"/>
        <v>51</v>
      </c>
      <c r="K30" s="54">
        <f t="shared" si="20"/>
        <v>7</v>
      </c>
      <c r="L30" s="54">
        <f t="shared" si="20"/>
        <v>13</v>
      </c>
      <c r="M30" s="61">
        <f t="shared" si="20"/>
        <v>1</v>
      </c>
      <c r="N30" s="61">
        <f t="shared" si="20"/>
        <v>0</v>
      </c>
      <c r="O30" s="73">
        <f t="shared" si="20"/>
        <v>9</v>
      </c>
      <c r="P30" s="62">
        <f t="shared" si="1"/>
        <v>483</v>
      </c>
      <c r="Q30" s="384">
        <v>23</v>
      </c>
      <c r="R30" s="418">
        <v>16</v>
      </c>
      <c r="S30" s="418">
        <v>16</v>
      </c>
      <c r="T30" s="385">
        <v>11</v>
      </c>
      <c r="U30" s="385">
        <v>17</v>
      </c>
      <c r="V30" s="386">
        <v>11</v>
      </c>
      <c r="W30" s="386">
        <v>2</v>
      </c>
      <c r="X30" s="386">
        <v>4</v>
      </c>
      <c r="Y30" s="386">
        <v>1</v>
      </c>
      <c r="Z30" s="386">
        <v>0</v>
      </c>
      <c r="AA30" s="387">
        <v>3</v>
      </c>
      <c r="AB30" s="271">
        <f t="shared" si="21"/>
        <v>104</v>
      </c>
      <c r="AC30" s="384">
        <v>104</v>
      </c>
      <c r="AD30" s="418">
        <v>60</v>
      </c>
      <c r="AE30" s="418">
        <v>47</v>
      </c>
      <c r="AF30" s="385">
        <v>59</v>
      </c>
      <c r="AG30" s="385">
        <v>49</v>
      </c>
      <c r="AH30" s="386">
        <v>40</v>
      </c>
      <c r="AI30" s="386">
        <v>5</v>
      </c>
      <c r="AJ30" s="386">
        <v>9</v>
      </c>
      <c r="AK30" s="386">
        <v>0</v>
      </c>
      <c r="AL30" s="386">
        <v>0</v>
      </c>
      <c r="AM30" s="393">
        <v>6</v>
      </c>
      <c r="AN30" s="271">
        <f t="shared" si="22"/>
        <v>379</v>
      </c>
    </row>
    <row r="31" spans="1:40" s="8" customFormat="1" ht="21" customHeight="1">
      <c r="A31" s="9"/>
      <c r="B31" s="647"/>
      <c r="C31" s="802" t="s">
        <v>21</v>
      </c>
      <c r="D31" s="803"/>
      <c r="E31" s="41">
        <f t="shared" si="20"/>
        <v>180</v>
      </c>
      <c r="F31" s="52">
        <f t="shared" si="20"/>
        <v>115</v>
      </c>
      <c r="G31" s="53">
        <f t="shared" si="20"/>
        <v>109</v>
      </c>
      <c r="H31" s="52">
        <f t="shared" si="20"/>
        <v>92</v>
      </c>
      <c r="I31" s="52">
        <f t="shared" si="20"/>
        <v>87</v>
      </c>
      <c r="J31" s="54">
        <f t="shared" si="20"/>
        <v>93</v>
      </c>
      <c r="K31" s="54">
        <f t="shared" si="20"/>
        <v>8</v>
      </c>
      <c r="L31" s="54">
        <f t="shared" si="20"/>
        <v>26</v>
      </c>
      <c r="M31" s="61">
        <f t="shared" si="20"/>
        <v>4</v>
      </c>
      <c r="N31" s="61">
        <f t="shared" si="20"/>
        <v>6</v>
      </c>
      <c r="O31" s="73">
        <f t="shared" si="20"/>
        <v>21</v>
      </c>
      <c r="P31" s="62">
        <f t="shared" si="1"/>
        <v>741</v>
      </c>
      <c r="Q31" s="384">
        <v>46</v>
      </c>
      <c r="R31" s="418">
        <v>38</v>
      </c>
      <c r="S31" s="418">
        <v>30</v>
      </c>
      <c r="T31" s="385">
        <v>23</v>
      </c>
      <c r="U31" s="385">
        <v>16</v>
      </c>
      <c r="V31" s="386">
        <v>25</v>
      </c>
      <c r="W31" s="386">
        <v>3</v>
      </c>
      <c r="X31" s="386">
        <v>3</v>
      </c>
      <c r="Y31" s="386">
        <v>2</v>
      </c>
      <c r="Z31" s="386">
        <v>1</v>
      </c>
      <c r="AA31" s="387">
        <v>9</v>
      </c>
      <c r="AB31" s="271">
        <f t="shared" si="21"/>
        <v>196</v>
      </c>
      <c r="AC31" s="384">
        <v>134</v>
      </c>
      <c r="AD31" s="418">
        <v>77</v>
      </c>
      <c r="AE31" s="418">
        <v>79</v>
      </c>
      <c r="AF31" s="385">
        <v>69</v>
      </c>
      <c r="AG31" s="385">
        <v>71</v>
      </c>
      <c r="AH31" s="386">
        <v>68</v>
      </c>
      <c r="AI31" s="386">
        <v>5</v>
      </c>
      <c r="AJ31" s="386">
        <v>23</v>
      </c>
      <c r="AK31" s="386">
        <v>2</v>
      </c>
      <c r="AL31" s="386">
        <v>5</v>
      </c>
      <c r="AM31" s="393">
        <v>12</v>
      </c>
      <c r="AN31" s="271">
        <f t="shared" si="22"/>
        <v>545</v>
      </c>
    </row>
    <row r="32" spans="1:40" s="8" customFormat="1" ht="21" customHeight="1">
      <c r="A32" s="9"/>
      <c r="B32" s="647"/>
      <c r="C32" s="802" t="s">
        <v>22</v>
      </c>
      <c r="D32" s="803"/>
      <c r="E32" s="41">
        <f t="shared" si="20"/>
        <v>228</v>
      </c>
      <c r="F32" s="52">
        <f t="shared" si="20"/>
        <v>135</v>
      </c>
      <c r="G32" s="53">
        <f t="shared" si="20"/>
        <v>94</v>
      </c>
      <c r="H32" s="52">
        <f t="shared" si="20"/>
        <v>113</v>
      </c>
      <c r="I32" s="52">
        <f t="shared" si="20"/>
        <v>162</v>
      </c>
      <c r="J32" s="54">
        <f t="shared" si="20"/>
        <v>53</v>
      </c>
      <c r="K32" s="54">
        <f t="shared" si="20"/>
        <v>6</v>
      </c>
      <c r="L32" s="54">
        <f t="shared" si="20"/>
        <v>7</v>
      </c>
      <c r="M32" s="61">
        <f t="shared" si="20"/>
        <v>12</v>
      </c>
      <c r="N32" s="61">
        <f t="shared" si="20"/>
        <v>7</v>
      </c>
      <c r="O32" s="73">
        <f t="shared" si="20"/>
        <v>6</v>
      </c>
      <c r="P32" s="62">
        <f t="shared" si="1"/>
        <v>823</v>
      </c>
      <c r="Q32" s="384">
        <v>55</v>
      </c>
      <c r="R32" s="418">
        <v>45</v>
      </c>
      <c r="S32" s="418">
        <v>24</v>
      </c>
      <c r="T32" s="385">
        <v>30</v>
      </c>
      <c r="U32" s="385">
        <v>54</v>
      </c>
      <c r="V32" s="386">
        <v>14</v>
      </c>
      <c r="W32" s="386">
        <v>1</v>
      </c>
      <c r="X32" s="386">
        <v>2</v>
      </c>
      <c r="Y32" s="386">
        <v>10</v>
      </c>
      <c r="Z32" s="386">
        <v>4</v>
      </c>
      <c r="AA32" s="387">
        <v>3</v>
      </c>
      <c r="AB32" s="271">
        <f t="shared" si="21"/>
        <v>242</v>
      </c>
      <c r="AC32" s="384">
        <v>173</v>
      </c>
      <c r="AD32" s="418">
        <v>90</v>
      </c>
      <c r="AE32" s="418">
        <v>70</v>
      </c>
      <c r="AF32" s="385">
        <v>83</v>
      </c>
      <c r="AG32" s="385">
        <v>108</v>
      </c>
      <c r="AH32" s="386">
        <v>39</v>
      </c>
      <c r="AI32" s="386">
        <v>5</v>
      </c>
      <c r="AJ32" s="386">
        <v>5</v>
      </c>
      <c r="AK32" s="386">
        <v>2</v>
      </c>
      <c r="AL32" s="386">
        <v>3</v>
      </c>
      <c r="AM32" s="393">
        <v>3</v>
      </c>
      <c r="AN32" s="271">
        <f t="shared" si="22"/>
        <v>581</v>
      </c>
    </row>
    <row r="33" spans="1:40" s="8" customFormat="1" ht="21" customHeight="1">
      <c r="A33" s="9"/>
      <c r="B33" s="647"/>
      <c r="C33" s="802" t="s">
        <v>23</v>
      </c>
      <c r="D33" s="803"/>
      <c r="E33" s="68">
        <f t="shared" si="20"/>
        <v>79</v>
      </c>
      <c r="F33" s="69">
        <f t="shared" si="20"/>
        <v>44</v>
      </c>
      <c r="G33" s="70">
        <f t="shared" si="20"/>
        <v>32</v>
      </c>
      <c r="H33" s="69">
        <f t="shared" si="20"/>
        <v>45</v>
      </c>
      <c r="I33" s="69">
        <f t="shared" si="20"/>
        <v>26</v>
      </c>
      <c r="J33" s="75">
        <f t="shared" si="20"/>
        <v>43</v>
      </c>
      <c r="K33" s="75">
        <f t="shared" si="20"/>
        <v>7</v>
      </c>
      <c r="L33" s="75">
        <f t="shared" si="20"/>
        <v>4</v>
      </c>
      <c r="M33" s="61">
        <f t="shared" si="20"/>
        <v>1</v>
      </c>
      <c r="N33" s="61">
        <f t="shared" si="20"/>
        <v>1</v>
      </c>
      <c r="O33" s="73">
        <f t="shared" si="20"/>
        <v>1</v>
      </c>
      <c r="P33" s="62">
        <f t="shared" si="1"/>
        <v>283</v>
      </c>
      <c r="Q33" s="388">
        <v>21</v>
      </c>
      <c r="R33" s="419">
        <v>15</v>
      </c>
      <c r="S33" s="419">
        <v>9</v>
      </c>
      <c r="T33" s="389">
        <v>13</v>
      </c>
      <c r="U33" s="389">
        <v>7</v>
      </c>
      <c r="V33" s="390">
        <v>11</v>
      </c>
      <c r="W33" s="390">
        <v>2</v>
      </c>
      <c r="X33" s="390">
        <v>2</v>
      </c>
      <c r="Y33" s="390">
        <v>1</v>
      </c>
      <c r="Z33" s="390">
        <v>0</v>
      </c>
      <c r="AA33" s="391">
        <v>0</v>
      </c>
      <c r="AB33" s="276">
        <f t="shared" si="21"/>
        <v>81</v>
      </c>
      <c r="AC33" s="384">
        <v>58</v>
      </c>
      <c r="AD33" s="418">
        <v>29</v>
      </c>
      <c r="AE33" s="418">
        <v>23</v>
      </c>
      <c r="AF33" s="385">
        <v>32</v>
      </c>
      <c r="AG33" s="385">
        <v>19</v>
      </c>
      <c r="AH33" s="386">
        <v>32</v>
      </c>
      <c r="AI33" s="386">
        <v>5</v>
      </c>
      <c r="AJ33" s="386">
        <v>2</v>
      </c>
      <c r="AK33" s="386">
        <v>0</v>
      </c>
      <c r="AL33" s="386">
        <v>1</v>
      </c>
      <c r="AM33" s="393">
        <v>1</v>
      </c>
      <c r="AN33" s="276">
        <f t="shared" si="22"/>
        <v>202</v>
      </c>
    </row>
    <row r="34" spans="1:40" s="8" customFormat="1" ht="21" customHeight="1" thickBot="1">
      <c r="A34" s="9"/>
      <c r="B34" s="649"/>
      <c r="C34" s="804" t="s">
        <v>66</v>
      </c>
      <c r="D34" s="805"/>
      <c r="E34" s="79">
        <f t="shared" si="20"/>
        <v>435</v>
      </c>
      <c r="F34" s="71">
        <f t="shared" si="20"/>
        <v>217</v>
      </c>
      <c r="G34" s="80">
        <f t="shared" si="20"/>
        <v>204</v>
      </c>
      <c r="H34" s="71">
        <f t="shared" si="20"/>
        <v>250</v>
      </c>
      <c r="I34" s="71">
        <f t="shared" si="20"/>
        <v>144</v>
      </c>
      <c r="J34" s="76">
        <f t="shared" si="20"/>
        <v>203</v>
      </c>
      <c r="K34" s="76">
        <f t="shared" si="20"/>
        <v>16</v>
      </c>
      <c r="L34" s="76">
        <f t="shared" si="20"/>
        <v>20</v>
      </c>
      <c r="M34" s="76">
        <f t="shared" si="20"/>
        <v>1</v>
      </c>
      <c r="N34" s="76">
        <f t="shared" si="20"/>
        <v>3</v>
      </c>
      <c r="O34" s="77">
        <f t="shared" si="20"/>
        <v>6</v>
      </c>
      <c r="P34" s="66">
        <f t="shared" si="1"/>
        <v>1499</v>
      </c>
      <c r="Q34" s="409">
        <v>101</v>
      </c>
      <c r="R34" s="410">
        <v>73</v>
      </c>
      <c r="S34" s="410">
        <v>55</v>
      </c>
      <c r="T34" s="410">
        <v>64</v>
      </c>
      <c r="U34" s="410">
        <v>32</v>
      </c>
      <c r="V34" s="411">
        <v>58</v>
      </c>
      <c r="W34" s="411">
        <v>3</v>
      </c>
      <c r="X34" s="411">
        <v>6</v>
      </c>
      <c r="Y34" s="405">
        <v>1</v>
      </c>
      <c r="Z34" s="405">
        <v>1</v>
      </c>
      <c r="AA34" s="408">
        <v>4</v>
      </c>
      <c r="AB34" s="283">
        <f t="shared" si="21"/>
        <v>398</v>
      </c>
      <c r="AC34" s="409">
        <v>334</v>
      </c>
      <c r="AD34" s="410">
        <v>144</v>
      </c>
      <c r="AE34" s="410">
        <v>149</v>
      </c>
      <c r="AF34" s="410">
        <v>186</v>
      </c>
      <c r="AG34" s="410">
        <v>112</v>
      </c>
      <c r="AH34" s="411">
        <v>145</v>
      </c>
      <c r="AI34" s="411">
        <v>13</v>
      </c>
      <c r="AJ34" s="411">
        <v>14</v>
      </c>
      <c r="AK34" s="405">
        <v>0</v>
      </c>
      <c r="AL34" s="405">
        <v>2</v>
      </c>
      <c r="AM34" s="408">
        <v>2</v>
      </c>
      <c r="AN34" s="283">
        <f t="shared" si="22"/>
        <v>1101</v>
      </c>
    </row>
    <row r="35" spans="1:40" s="8" customFormat="1" ht="21" customHeight="1" thickBot="1" thickTop="1">
      <c r="A35" s="9"/>
      <c r="B35" s="648"/>
      <c r="C35" s="806" t="s">
        <v>7</v>
      </c>
      <c r="D35" s="807"/>
      <c r="E35" s="68">
        <f aca="true" t="shared" si="23" ref="E35:O35">SUM(E29:E34)</f>
        <v>1585</v>
      </c>
      <c r="F35" s="69">
        <f>SUM(F29:F34)</f>
        <v>897</v>
      </c>
      <c r="G35" s="70">
        <f>SUM(G29:G34)</f>
        <v>739</v>
      </c>
      <c r="H35" s="69">
        <f t="shared" si="23"/>
        <v>870</v>
      </c>
      <c r="I35" s="69">
        <f t="shared" si="23"/>
        <v>721</v>
      </c>
      <c r="J35" s="69">
        <f t="shared" si="23"/>
        <v>730</v>
      </c>
      <c r="K35" s="69">
        <f t="shared" si="23"/>
        <v>73</v>
      </c>
      <c r="L35" s="69">
        <f t="shared" si="23"/>
        <v>106</v>
      </c>
      <c r="M35" s="69">
        <f t="shared" si="23"/>
        <v>24</v>
      </c>
      <c r="N35" s="69">
        <f t="shared" si="23"/>
        <v>23</v>
      </c>
      <c r="O35" s="83">
        <f t="shared" si="23"/>
        <v>74</v>
      </c>
      <c r="P35" s="57">
        <f t="shared" si="1"/>
        <v>5842</v>
      </c>
      <c r="Q35" s="285">
        <f aca="true" t="shared" si="24" ref="Q35:X35">SUM(Q29:Q34)</f>
        <v>360</v>
      </c>
      <c r="R35" s="286">
        <f t="shared" si="24"/>
        <v>275</v>
      </c>
      <c r="S35" s="286">
        <f t="shared" si="24"/>
        <v>195</v>
      </c>
      <c r="T35" s="286">
        <f t="shared" si="24"/>
        <v>210</v>
      </c>
      <c r="U35" s="286">
        <f t="shared" si="24"/>
        <v>177</v>
      </c>
      <c r="V35" s="286">
        <f t="shared" si="24"/>
        <v>189</v>
      </c>
      <c r="W35" s="286">
        <f t="shared" si="24"/>
        <v>18</v>
      </c>
      <c r="X35" s="286">
        <f t="shared" si="24"/>
        <v>26</v>
      </c>
      <c r="Y35" s="286">
        <f>SUM(Y29:Y34)</f>
        <v>19</v>
      </c>
      <c r="Z35" s="286">
        <f>SUM(Z29:Z34)</f>
        <v>9</v>
      </c>
      <c r="AA35" s="286">
        <f>SUM(AA29:AA34)</f>
        <v>32</v>
      </c>
      <c r="AB35" s="287">
        <f aca="true" t="shared" si="25" ref="AB35:AJ35">SUM(AB29:AB34)</f>
        <v>1510</v>
      </c>
      <c r="AC35" s="285">
        <f t="shared" si="25"/>
        <v>1225</v>
      </c>
      <c r="AD35" s="286">
        <f t="shared" si="25"/>
        <v>622</v>
      </c>
      <c r="AE35" s="286">
        <f t="shared" si="25"/>
        <v>544</v>
      </c>
      <c r="AF35" s="286">
        <f t="shared" si="25"/>
        <v>660</v>
      </c>
      <c r="AG35" s="286">
        <f t="shared" si="25"/>
        <v>544</v>
      </c>
      <c r="AH35" s="286">
        <f t="shared" si="25"/>
        <v>541</v>
      </c>
      <c r="AI35" s="286">
        <f t="shared" si="25"/>
        <v>55</v>
      </c>
      <c r="AJ35" s="286">
        <f t="shared" si="25"/>
        <v>80</v>
      </c>
      <c r="AK35" s="286">
        <f>SUM(AK29:AK34)</f>
        <v>5</v>
      </c>
      <c r="AL35" s="286">
        <f>SUM(AL29:AL34)</f>
        <v>14</v>
      </c>
      <c r="AM35" s="286">
        <f>SUM(AM29:AM34)</f>
        <v>42</v>
      </c>
      <c r="AN35" s="287">
        <f>SUM(AN29:AN34)</f>
        <v>4332</v>
      </c>
    </row>
    <row r="36" spans="1:40" s="8" customFormat="1" ht="21" customHeight="1">
      <c r="A36" s="9"/>
      <c r="B36" s="650" t="s">
        <v>97</v>
      </c>
      <c r="C36" s="800" t="s">
        <v>24</v>
      </c>
      <c r="D36" s="801"/>
      <c r="E36" s="78">
        <f aca="true" t="shared" si="26" ref="E36:O40">Q36+AC36</f>
        <v>1192</v>
      </c>
      <c r="F36" s="42">
        <f t="shared" si="26"/>
        <v>585</v>
      </c>
      <c r="G36" s="43">
        <f t="shared" si="26"/>
        <v>421</v>
      </c>
      <c r="H36" s="42">
        <f t="shared" si="26"/>
        <v>534</v>
      </c>
      <c r="I36" s="42">
        <f t="shared" si="26"/>
        <v>469</v>
      </c>
      <c r="J36" s="44">
        <f t="shared" si="26"/>
        <v>365</v>
      </c>
      <c r="K36" s="44">
        <f t="shared" si="26"/>
        <v>45</v>
      </c>
      <c r="L36" s="44">
        <f t="shared" si="26"/>
        <v>78</v>
      </c>
      <c r="M36" s="44">
        <f t="shared" si="26"/>
        <v>27</v>
      </c>
      <c r="N36" s="44">
        <f t="shared" si="26"/>
        <v>41</v>
      </c>
      <c r="O36" s="46">
        <f t="shared" si="26"/>
        <v>42</v>
      </c>
      <c r="P36" s="67">
        <f t="shared" si="1"/>
        <v>3799</v>
      </c>
      <c r="Q36" s="375">
        <v>245</v>
      </c>
      <c r="R36" s="416">
        <v>169</v>
      </c>
      <c r="S36" s="416">
        <v>115</v>
      </c>
      <c r="T36" s="376">
        <v>122</v>
      </c>
      <c r="U36" s="376">
        <v>107</v>
      </c>
      <c r="V36" s="377">
        <v>91</v>
      </c>
      <c r="W36" s="377">
        <v>17</v>
      </c>
      <c r="X36" s="377">
        <v>21</v>
      </c>
      <c r="Y36" s="377">
        <v>16</v>
      </c>
      <c r="Z36" s="377">
        <v>16</v>
      </c>
      <c r="AA36" s="378">
        <v>25</v>
      </c>
      <c r="AB36" s="271">
        <f aca="true" t="shared" si="27" ref="AB36:AB42">SUM(Q36:AA36)</f>
        <v>944</v>
      </c>
      <c r="AC36" s="375">
        <v>947</v>
      </c>
      <c r="AD36" s="416">
        <v>416</v>
      </c>
      <c r="AE36" s="416">
        <v>306</v>
      </c>
      <c r="AF36" s="376">
        <v>412</v>
      </c>
      <c r="AG36" s="376">
        <v>362</v>
      </c>
      <c r="AH36" s="377">
        <v>274</v>
      </c>
      <c r="AI36" s="377">
        <v>28</v>
      </c>
      <c r="AJ36" s="377">
        <v>57</v>
      </c>
      <c r="AK36" s="377">
        <v>11</v>
      </c>
      <c r="AL36" s="377">
        <v>25</v>
      </c>
      <c r="AM36" s="407">
        <v>17</v>
      </c>
      <c r="AN36" s="271">
        <f aca="true" t="shared" si="28" ref="AN36:AN42">SUM(AC36:AM36)</f>
        <v>2855</v>
      </c>
    </row>
    <row r="37" spans="1:40" s="8" customFormat="1" ht="21" customHeight="1">
      <c r="A37" s="9"/>
      <c r="B37" s="651"/>
      <c r="C37" s="802" t="s">
        <v>25</v>
      </c>
      <c r="D37" s="803"/>
      <c r="E37" s="58">
        <f t="shared" si="26"/>
        <v>83</v>
      </c>
      <c r="F37" s="59">
        <f t="shared" si="26"/>
        <v>36</v>
      </c>
      <c r="G37" s="60">
        <f t="shared" si="26"/>
        <v>42</v>
      </c>
      <c r="H37" s="59">
        <f t="shared" si="26"/>
        <v>42</v>
      </c>
      <c r="I37" s="59">
        <f t="shared" si="26"/>
        <v>25</v>
      </c>
      <c r="J37" s="61">
        <f t="shared" si="26"/>
        <v>27</v>
      </c>
      <c r="K37" s="61">
        <f t="shared" si="26"/>
        <v>11</v>
      </c>
      <c r="L37" s="61">
        <f t="shared" si="26"/>
        <v>15</v>
      </c>
      <c r="M37" s="61">
        <f t="shared" si="26"/>
        <v>9</v>
      </c>
      <c r="N37" s="61">
        <f t="shared" si="26"/>
        <v>10</v>
      </c>
      <c r="O37" s="73">
        <f t="shared" si="26"/>
        <v>13</v>
      </c>
      <c r="P37" s="62">
        <f t="shared" si="1"/>
        <v>313</v>
      </c>
      <c r="Q37" s="384">
        <v>20</v>
      </c>
      <c r="R37" s="418">
        <v>10</v>
      </c>
      <c r="S37" s="418">
        <v>15</v>
      </c>
      <c r="T37" s="385">
        <v>18</v>
      </c>
      <c r="U37" s="385">
        <v>10</v>
      </c>
      <c r="V37" s="386">
        <v>11</v>
      </c>
      <c r="W37" s="386">
        <v>7</v>
      </c>
      <c r="X37" s="386">
        <v>10</v>
      </c>
      <c r="Y37" s="386">
        <v>9</v>
      </c>
      <c r="Z37" s="386">
        <v>10</v>
      </c>
      <c r="AA37" s="387">
        <v>12</v>
      </c>
      <c r="AB37" s="271">
        <f t="shared" si="27"/>
        <v>132</v>
      </c>
      <c r="AC37" s="384">
        <v>63</v>
      </c>
      <c r="AD37" s="418">
        <v>26</v>
      </c>
      <c r="AE37" s="418">
        <v>27</v>
      </c>
      <c r="AF37" s="385">
        <v>24</v>
      </c>
      <c r="AG37" s="385">
        <v>15</v>
      </c>
      <c r="AH37" s="386">
        <v>16</v>
      </c>
      <c r="AI37" s="386">
        <v>4</v>
      </c>
      <c r="AJ37" s="386">
        <v>5</v>
      </c>
      <c r="AK37" s="386">
        <v>0</v>
      </c>
      <c r="AL37" s="386">
        <v>0</v>
      </c>
      <c r="AM37" s="393">
        <v>1</v>
      </c>
      <c r="AN37" s="271">
        <f t="shared" si="28"/>
        <v>181</v>
      </c>
    </row>
    <row r="38" spans="1:40" s="8" customFormat="1" ht="21" customHeight="1">
      <c r="A38" s="9"/>
      <c r="B38" s="651"/>
      <c r="C38" s="802" t="s">
        <v>26</v>
      </c>
      <c r="D38" s="803"/>
      <c r="E38" s="58">
        <f t="shared" si="26"/>
        <v>32</v>
      </c>
      <c r="F38" s="59">
        <f t="shared" si="26"/>
        <v>20</v>
      </c>
      <c r="G38" s="60">
        <f t="shared" si="26"/>
        <v>19</v>
      </c>
      <c r="H38" s="59">
        <f t="shared" si="26"/>
        <v>12</v>
      </c>
      <c r="I38" s="59">
        <f t="shared" si="26"/>
        <v>9</v>
      </c>
      <c r="J38" s="61">
        <f t="shared" si="26"/>
        <v>19</v>
      </c>
      <c r="K38" s="61">
        <f t="shared" si="26"/>
        <v>1</v>
      </c>
      <c r="L38" s="61">
        <f t="shared" si="26"/>
        <v>5</v>
      </c>
      <c r="M38" s="61">
        <f t="shared" si="26"/>
        <v>0</v>
      </c>
      <c r="N38" s="61">
        <f t="shared" si="26"/>
        <v>0</v>
      </c>
      <c r="O38" s="73">
        <f t="shared" si="26"/>
        <v>3</v>
      </c>
      <c r="P38" s="62">
        <f t="shared" si="1"/>
        <v>120</v>
      </c>
      <c r="Q38" s="384">
        <v>7</v>
      </c>
      <c r="R38" s="418">
        <v>11</v>
      </c>
      <c r="S38" s="418">
        <v>8</v>
      </c>
      <c r="T38" s="385">
        <v>5</v>
      </c>
      <c r="U38" s="385">
        <v>3</v>
      </c>
      <c r="V38" s="386">
        <v>7</v>
      </c>
      <c r="W38" s="386">
        <v>1</v>
      </c>
      <c r="X38" s="386">
        <v>2</v>
      </c>
      <c r="Y38" s="386">
        <v>0</v>
      </c>
      <c r="Z38" s="386">
        <v>0</v>
      </c>
      <c r="AA38" s="387">
        <v>3</v>
      </c>
      <c r="AB38" s="271">
        <f t="shared" si="27"/>
        <v>47</v>
      </c>
      <c r="AC38" s="384">
        <v>25</v>
      </c>
      <c r="AD38" s="418">
        <v>9</v>
      </c>
      <c r="AE38" s="418">
        <v>11</v>
      </c>
      <c r="AF38" s="385">
        <v>7</v>
      </c>
      <c r="AG38" s="385">
        <v>6</v>
      </c>
      <c r="AH38" s="386">
        <v>12</v>
      </c>
      <c r="AI38" s="386">
        <v>0</v>
      </c>
      <c r="AJ38" s="386">
        <v>3</v>
      </c>
      <c r="AK38" s="386">
        <v>0</v>
      </c>
      <c r="AL38" s="386">
        <v>0</v>
      </c>
      <c r="AM38" s="393">
        <v>0</v>
      </c>
      <c r="AN38" s="271">
        <f t="shared" si="28"/>
        <v>73</v>
      </c>
    </row>
    <row r="39" spans="1:40" s="8" customFormat="1" ht="21" customHeight="1">
      <c r="A39" s="9"/>
      <c r="B39" s="651"/>
      <c r="C39" s="802" t="s">
        <v>27</v>
      </c>
      <c r="D39" s="803"/>
      <c r="E39" s="63">
        <f t="shared" si="26"/>
        <v>98</v>
      </c>
      <c r="F39" s="64">
        <f t="shared" si="26"/>
        <v>64</v>
      </c>
      <c r="G39" s="65">
        <f t="shared" si="26"/>
        <v>40</v>
      </c>
      <c r="H39" s="64">
        <f t="shared" si="26"/>
        <v>48</v>
      </c>
      <c r="I39" s="64">
        <f t="shared" si="26"/>
        <v>25</v>
      </c>
      <c r="J39" s="55">
        <f t="shared" si="26"/>
        <v>49</v>
      </c>
      <c r="K39" s="55">
        <f t="shared" si="26"/>
        <v>9</v>
      </c>
      <c r="L39" s="55">
        <f t="shared" si="26"/>
        <v>4</v>
      </c>
      <c r="M39" s="61">
        <f t="shared" si="26"/>
        <v>2</v>
      </c>
      <c r="N39" s="61">
        <f t="shared" si="26"/>
        <v>2</v>
      </c>
      <c r="O39" s="73">
        <f t="shared" si="26"/>
        <v>7</v>
      </c>
      <c r="P39" s="62">
        <f t="shared" si="1"/>
        <v>348</v>
      </c>
      <c r="Q39" s="388">
        <v>25</v>
      </c>
      <c r="R39" s="419">
        <v>20</v>
      </c>
      <c r="S39" s="419">
        <v>14</v>
      </c>
      <c r="T39" s="389">
        <v>14</v>
      </c>
      <c r="U39" s="389">
        <v>7</v>
      </c>
      <c r="V39" s="390">
        <v>13</v>
      </c>
      <c r="W39" s="390">
        <v>4</v>
      </c>
      <c r="X39" s="390">
        <v>0</v>
      </c>
      <c r="Y39" s="390">
        <v>1</v>
      </c>
      <c r="Z39" s="390">
        <v>0</v>
      </c>
      <c r="AA39" s="391">
        <v>3</v>
      </c>
      <c r="AB39" s="273">
        <f t="shared" si="27"/>
        <v>101</v>
      </c>
      <c r="AC39" s="388">
        <v>73</v>
      </c>
      <c r="AD39" s="419">
        <v>44</v>
      </c>
      <c r="AE39" s="419">
        <v>26</v>
      </c>
      <c r="AF39" s="389">
        <v>34</v>
      </c>
      <c r="AG39" s="389">
        <v>18</v>
      </c>
      <c r="AH39" s="390">
        <v>36</v>
      </c>
      <c r="AI39" s="390">
        <v>5</v>
      </c>
      <c r="AJ39" s="390">
        <v>4</v>
      </c>
      <c r="AK39" s="390">
        <v>1</v>
      </c>
      <c r="AL39" s="390">
        <v>2</v>
      </c>
      <c r="AM39" s="394">
        <v>4</v>
      </c>
      <c r="AN39" s="273">
        <f t="shared" si="28"/>
        <v>247</v>
      </c>
    </row>
    <row r="40" spans="1:40" s="8" customFormat="1" ht="21" customHeight="1" thickBot="1">
      <c r="A40" s="9"/>
      <c r="B40" s="651"/>
      <c r="C40" s="810" t="s">
        <v>67</v>
      </c>
      <c r="D40" s="811"/>
      <c r="E40" s="58">
        <f t="shared" si="26"/>
        <v>523</v>
      </c>
      <c r="F40" s="59">
        <f t="shared" si="26"/>
        <v>229</v>
      </c>
      <c r="G40" s="60">
        <f t="shared" si="26"/>
        <v>226</v>
      </c>
      <c r="H40" s="59">
        <f t="shared" si="26"/>
        <v>215</v>
      </c>
      <c r="I40" s="59">
        <f t="shared" si="26"/>
        <v>119</v>
      </c>
      <c r="J40" s="61">
        <f t="shared" si="26"/>
        <v>124</v>
      </c>
      <c r="K40" s="61">
        <f t="shared" si="26"/>
        <v>9</v>
      </c>
      <c r="L40" s="61">
        <f t="shared" si="26"/>
        <v>37</v>
      </c>
      <c r="M40" s="61">
        <f t="shared" si="26"/>
        <v>9</v>
      </c>
      <c r="N40" s="61">
        <f t="shared" si="26"/>
        <v>3</v>
      </c>
      <c r="O40" s="73">
        <f t="shared" si="26"/>
        <v>71</v>
      </c>
      <c r="P40" s="66">
        <f t="shared" si="1"/>
        <v>1565</v>
      </c>
      <c r="Q40" s="384">
        <v>117</v>
      </c>
      <c r="R40" s="418">
        <v>71</v>
      </c>
      <c r="S40" s="418">
        <v>58</v>
      </c>
      <c r="T40" s="385">
        <v>50</v>
      </c>
      <c r="U40" s="385">
        <v>37</v>
      </c>
      <c r="V40" s="386">
        <v>26</v>
      </c>
      <c r="W40" s="386">
        <v>3</v>
      </c>
      <c r="X40" s="386">
        <v>5</v>
      </c>
      <c r="Y40" s="386">
        <v>6</v>
      </c>
      <c r="Z40" s="386">
        <v>2</v>
      </c>
      <c r="AA40" s="387">
        <v>24</v>
      </c>
      <c r="AB40" s="271">
        <f t="shared" si="27"/>
        <v>399</v>
      </c>
      <c r="AC40" s="384">
        <v>406</v>
      </c>
      <c r="AD40" s="418">
        <v>158</v>
      </c>
      <c r="AE40" s="418">
        <v>168</v>
      </c>
      <c r="AF40" s="385">
        <v>165</v>
      </c>
      <c r="AG40" s="385">
        <v>82</v>
      </c>
      <c r="AH40" s="386">
        <v>98</v>
      </c>
      <c r="AI40" s="386">
        <v>6</v>
      </c>
      <c r="AJ40" s="386">
        <v>32</v>
      </c>
      <c r="AK40" s="386">
        <v>3</v>
      </c>
      <c r="AL40" s="386">
        <v>1</v>
      </c>
      <c r="AM40" s="393">
        <v>47</v>
      </c>
      <c r="AN40" s="271">
        <f t="shared" si="28"/>
        <v>1166</v>
      </c>
    </row>
    <row r="41" spans="1:40" s="8" customFormat="1" ht="21" customHeight="1" thickBot="1" thickTop="1">
      <c r="A41" s="9"/>
      <c r="B41" s="652"/>
      <c r="C41" s="812" t="s">
        <v>7</v>
      </c>
      <c r="D41" s="813"/>
      <c r="E41" s="47">
        <f aca="true" t="shared" si="29" ref="E41:O41">SUM(E36:E40)</f>
        <v>1928</v>
      </c>
      <c r="F41" s="48">
        <f>SUM(F36:F40)</f>
        <v>934</v>
      </c>
      <c r="G41" s="49">
        <f>SUM(G36:G40)</f>
        <v>748</v>
      </c>
      <c r="H41" s="48">
        <f t="shared" si="29"/>
        <v>851</v>
      </c>
      <c r="I41" s="48">
        <f t="shared" si="29"/>
        <v>647</v>
      </c>
      <c r="J41" s="50">
        <f t="shared" si="29"/>
        <v>584</v>
      </c>
      <c r="K41" s="50">
        <f t="shared" si="29"/>
        <v>75</v>
      </c>
      <c r="L41" s="50">
        <f t="shared" si="29"/>
        <v>139</v>
      </c>
      <c r="M41" s="50">
        <f t="shared" si="29"/>
        <v>47</v>
      </c>
      <c r="N41" s="50">
        <f t="shared" si="29"/>
        <v>56</v>
      </c>
      <c r="O41" s="51">
        <f t="shared" si="29"/>
        <v>136</v>
      </c>
      <c r="P41" s="57">
        <f t="shared" si="1"/>
        <v>6145</v>
      </c>
      <c r="Q41" s="265">
        <f aca="true" t="shared" si="30" ref="Q41:X41">SUM(Q36:Q40)</f>
        <v>414</v>
      </c>
      <c r="R41" s="282">
        <f t="shared" si="30"/>
        <v>281</v>
      </c>
      <c r="S41" s="282">
        <f t="shared" si="30"/>
        <v>210</v>
      </c>
      <c r="T41" s="266">
        <f t="shared" si="30"/>
        <v>209</v>
      </c>
      <c r="U41" s="266">
        <f t="shared" si="30"/>
        <v>164</v>
      </c>
      <c r="V41" s="267">
        <f t="shared" si="30"/>
        <v>148</v>
      </c>
      <c r="W41" s="267">
        <f t="shared" si="30"/>
        <v>32</v>
      </c>
      <c r="X41" s="267">
        <f t="shared" si="30"/>
        <v>38</v>
      </c>
      <c r="Y41" s="267">
        <f>SUM(Y36:Y40)</f>
        <v>32</v>
      </c>
      <c r="Z41" s="267">
        <f>SUM(Z36:Z40)</f>
        <v>28</v>
      </c>
      <c r="AA41" s="267">
        <f>SUM(AA36:AA40)</f>
        <v>67</v>
      </c>
      <c r="AB41" s="269">
        <f t="shared" si="27"/>
        <v>1623</v>
      </c>
      <c r="AC41" s="265">
        <f aca="true" t="shared" si="31" ref="AC41:AJ41">SUM(AC36:AC40)</f>
        <v>1514</v>
      </c>
      <c r="AD41" s="282">
        <f t="shared" si="31"/>
        <v>653</v>
      </c>
      <c r="AE41" s="282">
        <f t="shared" si="31"/>
        <v>538</v>
      </c>
      <c r="AF41" s="266">
        <f t="shared" si="31"/>
        <v>642</v>
      </c>
      <c r="AG41" s="266">
        <f t="shared" si="31"/>
        <v>483</v>
      </c>
      <c r="AH41" s="267">
        <f t="shared" si="31"/>
        <v>436</v>
      </c>
      <c r="AI41" s="267">
        <f t="shared" si="31"/>
        <v>43</v>
      </c>
      <c r="AJ41" s="267">
        <f t="shared" si="31"/>
        <v>101</v>
      </c>
      <c r="AK41" s="267">
        <f>SUM(AK36:AK40)</f>
        <v>15</v>
      </c>
      <c r="AL41" s="267">
        <f>SUM(AL36:AL40)</f>
        <v>28</v>
      </c>
      <c r="AM41" s="267">
        <f>SUM(AM36:AM40)</f>
        <v>69</v>
      </c>
      <c r="AN41" s="269">
        <f t="shared" si="28"/>
        <v>4522</v>
      </c>
    </row>
    <row r="42" spans="1:40" s="8" customFormat="1" ht="21" customHeight="1" thickBot="1">
      <c r="A42" s="9"/>
      <c r="B42" s="646" t="s">
        <v>49</v>
      </c>
      <c r="C42" s="808" t="s">
        <v>31</v>
      </c>
      <c r="D42" s="809"/>
      <c r="E42" s="84">
        <f aca="true" t="shared" si="32" ref="E42:O42">Q42+AC42</f>
        <v>3074</v>
      </c>
      <c r="F42" s="85">
        <f t="shared" si="32"/>
        <v>1841</v>
      </c>
      <c r="G42" s="86">
        <f t="shared" si="32"/>
        <v>950</v>
      </c>
      <c r="H42" s="85">
        <f t="shared" si="32"/>
        <v>1052</v>
      </c>
      <c r="I42" s="85">
        <f t="shared" si="32"/>
        <v>1333</v>
      </c>
      <c r="J42" s="87">
        <f t="shared" si="32"/>
        <v>1251</v>
      </c>
      <c r="K42" s="87">
        <f t="shared" si="32"/>
        <v>430</v>
      </c>
      <c r="L42" s="87">
        <f t="shared" si="32"/>
        <v>175</v>
      </c>
      <c r="M42" s="87">
        <f t="shared" si="32"/>
        <v>83</v>
      </c>
      <c r="N42" s="87">
        <f t="shared" si="32"/>
        <v>77</v>
      </c>
      <c r="O42" s="88">
        <f t="shared" si="32"/>
        <v>44</v>
      </c>
      <c r="P42" s="89">
        <f t="shared" si="1"/>
        <v>10310</v>
      </c>
      <c r="Q42" s="395">
        <v>667</v>
      </c>
      <c r="R42" s="396">
        <v>585</v>
      </c>
      <c r="S42" s="396">
        <v>250</v>
      </c>
      <c r="T42" s="397">
        <v>223</v>
      </c>
      <c r="U42" s="381">
        <v>361</v>
      </c>
      <c r="V42" s="412">
        <v>345</v>
      </c>
      <c r="W42" s="412">
        <v>115</v>
      </c>
      <c r="X42" s="412">
        <v>50</v>
      </c>
      <c r="Y42" s="412">
        <v>60</v>
      </c>
      <c r="Z42" s="412">
        <v>31</v>
      </c>
      <c r="AA42" s="413">
        <v>27</v>
      </c>
      <c r="AB42" s="276">
        <f t="shared" si="27"/>
        <v>2714</v>
      </c>
      <c r="AC42" s="395">
        <v>2407</v>
      </c>
      <c r="AD42" s="396">
        <v>1256</v>
      </c>
      <c r="AE42" s="396">
        <v>700</v>
      </c>
      <c r="AF42" s="397">
        <v>829</v>
      </c>
      <c r="AG42" s="381">
        <v>972</v>
      </c>
      <c r="AH42" s="412">
        <v>906</v>
      </c>
      <c r="AI42" s="412">
        <v>315</v>
      </c>
      <c r="AJ42" s="412">
        <v>125</v>
      </c>
      <c r="AK42" s="412">
        <v>23</v>
      </c>
      <c r="AL42" s="412">
        <v>46</v>
      </c>
      <c r="AM42" s="414">
        <v>17</v>
      </c>
      <c r="AN42" s="276">
        <f t="shared" si="28"/>
        <v>7596</v>
      </c>
    </row>
    <row r="43" spans="1:40" s="8" customFormat="1" ht="21" customHeight="1" thickBot="1" thickTop="1">
      <c r="A43" s="9"/>
      <c r="B43" s="648"/>
      <c r="C43" s="806" t="s">
        <v>7</v>
      </c>
      <c r="D43" s="807"/>
      <c r="E43" s="47">
        <f aca="true" t="shared" si="33" ref="E43:O43">E42</f>
        <v>3074</v>
      </c>
      <c r="F43" s="48">
        <f>F42</f>
        <v>1841</v>
      </c>
      <c r="G43" s="49">
        <f>G42</f>
        <v>950</v>
      </c>
      <c r="H43" s="48">
        <f t="shared" si="33"/>
        <v>1052</v>
      </c>
      <c r="I43" s="48">
        <f t="shared" si="33"/>
        <v>1333</v>
      </c>
      <c r="J43" s="48">
        <f t="shared" si="33"/>
        <v>1251</v>
      </c>
      <c r="K43" s="48">
        <f t="shared" si="33"/>
        <v>430</v>
      </c>
      <c r="L43" s="48">
        <f t="shared" si="33"/>
        <v>175</v>
      </c>
      <c r="M43" s="48">
        <f t="shared" si="33"/>
        <v>83</v>
      </c>
      <c r="N43" s="48">
        <f t="shared" si="33"/>
        <v>77</v>
      </c>
      <c r="O43" s="74">
        <f t="shared" si="33"/>
        <v>44</v>
      </c>
      <c r="P43" s="57">
        <f t="shared" si="1"/>
        <v>10310</v>
      </c>
      <c r="Q43" s="265">
        <f aca="true" t="shared" si="34" ref="Q43:X43">Q42</f>
        <v>667</v>
      </c>
      <c r="R43" s="282">
        <f t="shared" si="34"/>
        <v>585</v>
      </c>
      <c r="S43" s="282">
        <f t="shared" si="34"/>
        <v>250</v>
      </c>
      <c r="T43" s="282">
        <f t="shared" si="34"/>
        <v>223</v>
      </c>
      <c r="U43" s="282">
        <f t="shared" si="34"/>
        <v>361</v>
      </c>
      <c r="V43" s="282">
        <f t="shared" si="34"/>
        <v>345</v>
      </c>
      <c r="W43" s="282">
        <f t="shared" si="34"/>
        <v>115</v>
      </c>
      <c r="X43" s="282">
        <f t="shared" si="34"/>
        <v>50</v>
      </c>
      <c r="Y43" s="282">
        <f>Y42</f>
        <v>60</v>
      </c>
      <c r="Z43" s="282">
        <f>Z42</f>
        <v>31</v>
      </c>
      <c r="AA43" s="282">
        <f>AA42</f>
        <v>27</v>
      </c>
      <c r="AB43" s="269">
        <f aca="true" t="shared" si="35" ref="AB43:AJ43">AB42</f>
        <v>2714</v>
      </c>
      <c r="AC43" s="265">
        <f t="shared" si="35"/>
        <v>2407</v>
      </c>
      <c r="AD43" s="282">
        <f t="shared" si="35"/>
        <v>1256</v>
      </c>
      <c r="AE43" s="282">
        <f t="shared" si="35"/>
        <v>700</v>
      </c>
      <c r="AF43" s="282">
        <f t="shared" si="35"/>
        <v>829</v>
      </c>
      <c r="AG43" s="282">
        <f t="shared" si="35"/>
        <v>972</v>
      </c>
      <c r="AH43" s="282">
        <f t="shared" si="35"/>
        <v>906</v>
      </c>
      <c r="AI43" s="282">
        <f t="shared" si="35"/>
        <v>315</v>
      </c>
      <c r="AJ43" s="282">
        <f t="shared" si="35"/>
        <v>125</v>
      </c>
      <c r="AK43" s="282">
        <f>AK42</f>
        <v>23</v>
      </c>
      <c r="AL43" s="282">
        <f>AL42</f>
        <v>46</v>
      </c>
      <c r="AM43" s="282">
        <f>AM42</f>
        <v>17</v>
      </c>
      <c r="AN43" s="269">
        <f>AN42</f>
        <v>7596</v>
      </c>
    </row>
    <row r="44" spans="1:40" s="8" customFormat="1" ht="21" customHeight="1">
      <c r="A44" s="9"/>
      <c r="B44" s="646" t="s">
        <v>48</v>
      </c>
      <c r="C44" s="800" t="s">
        <v>30</v>
      </c>
      <c r="D44" s="801"/>
      <c r="E44" s="78">
        <f aca="true" t="shared" si="36" ref="E44:O45">Q44+AC44</f>
        <v>3079</v>
      </c>
      <c r="F44" s="42">
        <f t="shared" si="36"/>
        <v>1618</v>
      </c>
      <c r="G44" s="43">
        <f t="shared" si="36"/>
        <v>934</v>
      </c>
      <c r="H44" s="42">
        <f t="shared" si="36"/>
        <v>1054</v>
      </c>
      <c r="I44" s="42">
        <f t="shared" si="36"/>
        <v>1227</v>
      </c>
      <c r="J44" s="44">
        <f t="shared" si="36"/>
        <v>1015</v>
      </c>
      <c r="K44" s="44">
        <f t="shared" si="36"/>
        <v>45</v>
      </c>
      <c r="L44" s="44">
        <f t="shared" si="36"/>
        <v>164</v>
      </c>
      <c r="M44" s="75">
        <f t="shared" si="36"/>
        <v>77</v>
      </c>
      <c r="N44" s="75">
        <f t="shared" si="36"/>
        <v>58</v>
      </c>
      <c r="O44" s="90">
        <f t="shared" si="36"/>
        <v>22</v>
      </c>
      <c r="P44" s="67">
        <f t="shared" si="1"/>
        <v>9293</v>
      </c>
      <c r="Q44" s="375">
        <v>625</v>
      </c>
      <c r="R44" s="416">
        <v>434</v>
      </c>
      <c r="S44" s="416">
        <v>206</v>
      </c>
      <c r="T44" s="376">
        <v>198</v>
      </c>
      <c r="U44" s="376">
        <v>261</v>
      </c>
      <c r="V44" s="377">
        <v>238</v>
      </c>
      <c r="W44" s="377">
        <v>16</v>
      </c>
      <c r="X44" s="377">
        <v>37</v>
      </c>
      <c r="Y44" s="377">
        <v>46</v>
      </c>
      <c r="Z44" s="377">
        <v>24</v>
      </c>
      <c r="AA44" s="378">
        <v>11</v>
      </c>
      <c r="AB44" s="271">
        <f>SUM(Q44:AA44)</f>
        <v>2096</v>
      </c>
      <c r="AC44" s="375">
        <v>2454</v>
      </c>
      <c r="AD44" s="416">
        <v>1184</v>
      </c>
      <c r="AE44" s="416">
        <v>728</v>
      </c>
      <c r="AF44" s="376">
        <v>856</v>
      </c>
      <c r="AG44" s="376">
        <v>966</v>
      </c>
      <c r="AH44" s="377">
        <v>777</v>
      </c>
      <c r="AI44" s="377">
        <v>29</v>
      </c>
      <c r="AJ44" s="377">
        <v>127</v>
      </c>
      <c r="AK44" s="377">
        <v>31</v>
      </c>
      <c r="AL44" s="377">
        <v>34</v>
      </c>
      <c r="AM44" s="407">
        <v>11</v>
      </c>
      <c r="AN44" s="271">
        <f>SUM(AC44:AM44)</f>
        <v>7197</v>
      </c>
    </row>
    <row r="45" spans="1:40" s="8" customFormat="1" ht="21" customHeight="1" thickBot="1">
      <c r="A45" s="9"/>
      <c r="B45" s="647"/>
      <c r="C45" s="804" t="s">
        <v>68</v>
      </c>
      <c r="D45" s="805"/>
      <c r="E45" s="84">
        <f t="shared" si="36"/>
        <v>852</v>
      </c>
      <c r="F45" s="85">
        <f t="shared" si="36"/>
        <v>452</v>
      </c>
      <c r="G45" s="86">
        <f t="shared" si="36"/>
        <v>287</v>
      </c>
      <c r="H45" s="85">
        <f t="shared" si="36"/>
        <v>289</v>
      </c>
      <c r="I45" s="85">
        <f t="shared" si="36"/>
        <v>351</v>
      </c>
      <c r="J45" s="87">
        <f t="shared" si="36"/>
        <v>249</v>
      </c>
      <c r="K45" s="87">
        <f t="shared" si="36"/>
        <v>21</v>
      </c>
      <c r="L45" s="87">
        <f t="shared" si="36"/>
        <v>49</v>
      </c>
      <c r="M45" s="76">
        <f t="shared" si="36"/>
        <v>21</v>
      </c>
      <c r="N45" s="76">
        <f t="shared" si="36"/>
        <v>6</v>
      </c>
      <c r="O45" s="77">
        <f t="shared" si="36"/>
        <v>71</v>
      </c>
      <c r="P45" s="66">
        <f t="shared" si="1"/>
        <v>2648</v>
      </c>
      <c r="Q45" s="388">
        <v>172</v>
      </c>
      <c r="R45" s="419">
        <v>146</v>
      </c>
      <c r="S45" s="419">
        <v>66</v>
      </c>
      <c r="T45" s="389">
        <v>67</v>
      </c>
      <c r="U45" s="385">
        <v>96</v>
      </c>
      <c r="V45" s="405">
        <v>69</v>
      </c>
      <c r="W45" s="405">
        <v>4</v>
      </c>
      <c r="X45" s="405">
        <v>8</v>
      </c>
      <c r="Y45" s="405">
        <v>16</v>
      </c>
      <c r="Z45" s="405">
        <v>3</v>
      </c>
      <c r="AA45" s="406">
        <v>28</v>
      </c>
      <c r="AB45" s="276">
        <f>SUM(Q45:AA45)</f>
        <v>675</v>
      </c>
      <c r="AC45" s="388">
        <v>680</v>
      </c>
      <c r="AD45" s="419">
        <v>306</v>
      </c>
      <c r="AE45" s="419">
        <v>221</v>
      </c>
      <c r="AF45" s="389">
        <v>222</v>
      </c>
      <c r="AG45" s="385">
        <v>255</v>
      </c>
      <c r="AH45" s="405">
        <v>180</v>
      </c>
      <c r="AI45" s="405">
        <v>17</v>
      </c>
      <c r="AJ45" s="405">
        <v>41</v>
      </c>
      <c r="AK45" s="405">
        <v>5</v>
      </c>
      <c r="AL45" s="405">
        <v>3</v>
      </c>
      <c r="AM45" s="408">
        <v>43</v>
      </c>
      <c r="AN45" s="276">
        <f>SUM(AC45:AM45)</f>
        <v>1973</v>
      </c>
    </row>
    <row r="46" spans="1:40" s="8" customFormat="1" ht="21" customHeight="1" thickBot="1" thickTop="1">
      <c r="A46" s="9"/>
      <c r="B46" s="648"/>
      <c r="C46" s="806" t="s">
        <v>7</v>
      </c>
      <c r="D46" s="807"/>
      <c r="E46" s="68">
        <f aca="true" t="shared" si="37" ref="E46:O46">SUM(E44:E45)</f>
        <v>3931</v>
      </c>
      <c r="F46" s="69">
        <f>SUM(F44:F45)</f>
        <v>2070</v>
      </c>
      <c r="G46" s="70">
        <f>SUM(G44:G45)</f>
        <v>1221</v>
      </c>
      <c r="H46" s="69">
        <f t="shared" si="37"/>
        <v>1343</v>
      </c>
      <c r="I46" s="69">
        <f t="shared" si="37"/>
        <v>1578</v>
      </c>
      <c r="J46" s="69">
        <f t="shared" si="37"/>
        <v>1264</v>
      </c>
      <c r="K46" s="69">
        <f t="shared" si="37"/>
        <v>66</v>
      </c>
      <c r="L46" s="69">
        <f t="shared" si="37"/>
        <v>213</v>
      </c>
      <c r="M46" s="69">
        <f t="shared" si="37"/>
        <v>98</v>
      </c>
      <c r="N46" s="69">
        <f t="shared" si="37"/>
        <v>64</v>
      </c>
      <c r="O46" s="83">
        <f t="shared" si="37"/>
        <v>93</v>
      </c>
      <c r="P46" s="57">
        <f t="shared" si="1"/>
        <v>11941</v>
      </c>
      <c r="Q46" s="265">
        <f aca="true" t="shared" si="38" ref="Q46:X46">SUM(Q44:Q45)</f>
        <v>797</v>
      </c>
      <c r="R46" s="282">
        <f t="shared" si="38"/>
        <v>580</v>
      </c>
      <c r="S46" s="282">
        <f t="shared" si="38"/>
        <v>272</v>
      </c>
      <c r="T46" s="282">
        <f t="shared" si="38"/>
        <v>265</v>
      </c>
      <c r="U46" s="282">
        <f t="shared" si="38"/>
        <v>357</v>
      </c>
      <c r="V46" s="282">
        <f t="shared" si="38"/>
        <v>307</v>
      </c>
      <c r="W46" s="282">
        <f t="shared" si="38"/>
        <v>20</v>
      </c>
      <c r="X46" s="282">
        <f t="shared" si="38"/>
        <v>45</v>
      </c>
      <c r="Y46" s="282">
        <f>SUM(Y44:Y45)</f>
        <v>62</v>
      </c>
      <c r="Z46" s="282">
        <f>SUM(Z44:Z45)</f>
        <v>27</v>
      </c>
      <c r="AA46" s="282">
        <f>SUM(AA44:AA45)</f>
        <v>39</v>
      </c>
      <c r="AB46" s="269">
        <f aca="true" t="shared" si="39" ref="AB46:AJ46">SUM(AB44:AB45)</f>
        <v>2771</v>
      </c>
      <c r="AC46" s="265">
        <f t="shared" si="39"/>
        <v>3134</v>
      </c>
      <c r="AD46" s="282">
        <f t="shared" si="39"/>
        <v>1490</v>
      </c>
      <c r="AE46" s="282">
        <f t="shared" si="39"/>
        <v>949</v>
      </c>
      <c r="AF46" s="282">
        <f t="shared" si="39"/>
        <v>1078</v>
      </c>
      <c r="AG46" s="282">
        <f t="shared" si="39"/>
        <v>1221</v>
      </c>
      <c r="AH46" s="282">
        <f t="shared" si="39"/>
        <v>957</v>
      </c>
      <c r="AI46" s="282">
        <f t="shared" si="39"/>
        <v>46</v>
      </c>
      <c r="AJ46" s="282">
        <f t="shared" si="39"/>
        <v>168</v>
      </c>
      <c r="AK46" s="282">
        <f>SUM(AK44:AK45)</f>
        <v>36</v>
      </c>
      <c r="AL46" s="282">
        <f>SUM(AL44:AL45)</f>
        <v>37</v>
      </c>
      <c r="AM46" s="282">
        <f>SUM(AM44:AM45)</f>
        <v>54</v>
      </c>
      <c r="AN46" s="269">
        <f>SUM(AN44:AN45)</f>
        <v>9170</v>
      </c>
    </row>
    <row r="47" spans="1:40" s="8" customFormat="1" ht="21" customHeight="1">
      <c r="A47" s="9"/>
      <c r="B47" s="655" t="s">
        <v>50</v>
      </c>
      <c r="C47" s="800" t="s">
        <v>32</v>
      </c>
      <c r="D47" s="801"/>
      <c r="E47" s="78">
        <f aca="true" t="shared" si="40" ref="E47:O52">Q47+AC47</f>
        <v>1320</v>
      </c>
      <c r="F47" s="42">
        <f t="shared" si="40"/>
        <v>755</v>
      </c>
      <c r="G47" s="43">
        <f t="shared" si="40"/>
        <v>477</v>
      </c>
      <c r="H47" s="42">
        <f t="shared" si="40"/>
        <v>500</v>
      </c>
      <c r="I47" s="42">
        <f t="shared" si="40"/>
        <v>582</v>
      </c>
      <c r="J47" s="44">
        <f t="shared" si="40"/>
        <v>564</v>
      </c>
      <c r="K47" s="44">
        <f t="shared" si="40"/>
        <v>46</v>
      </c>
      <c r="L47" s="44">
        <f t="shared" si="40"/>
        <v>103</v>
      </c>
      <c r="M47" s="44">
        <f t="shared" si="40"/>
        <v>24</v>
      </c>
      <c r="N47" s="44">
        <f t="shared" si="40"/>
        <v>30</v>
      </c>
      <c r="O47" s="46">
        <f t="shared" si="40"/>
        <v>7</v>
      </c>
      <c r="P47" s="67">
        <f t="shared" si="1"/>
        <v>4408</v>
      </c>
      <c r="Q47" s="375">
        <v>277</v>
      </c>
      <c r="R47" s="416">
        <v>214</v>
      </c>
      <c r="S47" s="416">
        <v>114</v>
      </c>
      <c r="T47" s="376">
        <v>89</v>
      </c>
      <c r="U47" s="376">
        <v>128</v>
      </c>
      <c r="V47" s="377">
        <v>126</v>
      </c>
      <c r="W47" s="377">
        <v>13</v>
      </c>
      <c r="X47" s="377">
        <v>20</v>
      </c>
      <c r="Y47" s="377">
        <v>15</v>
      </c>
      <c r="Z47" s="377">
        <v>6</v>
      </c>
      <c r="AA47" s="378">
        <v>6</v>
      </c>
      <c r="AB47" s="271">
        <f aca="true" t="shared" si="41" ref="AB47:AB53">SUM(Q47:AA47)</f>
        <v>1008</v>
      </c>
      <c r="AC47" s="375">
        <v>1043</v>
      </c>
      <c r="AD47" s="416">
        <v>541</v>
      </c>
      <c r="AE47" s="416">
        <v>363</v>
      </c>
      <c r="AF47" s="376">
        <v>411</v>
      </c>
      <c r="AG47" s="376">
        <v>454</v>
      </c>
      <c r="AH47" s="377">
        <v>438</v>
      </c>
      <c r="AI47" s="377">
        <v>33</v>
      </c>
      <c r="AJ47" s="377">
        <v>83</v>
      </c>
      <c r="AK47" s="377">
        <v>9</v>
      </c>
      <c r="AL47" s="377">
        <v>24</v>
      </c>
      <c r="AM47" s="407">
        <v>1</v>
      </c>
      <c r="AN47" s="271">
        <f aca="true" t="shared" si="42" ref="AN47:AN53">SUM(AC47:AM47)</f>
        <v>3400</v>
      </c>
    </row>
    <row r="48" spans="1:40" s="8" customFormat="1" ht="21" customHeight="1">
      <c r="A48" s="9"/>
      <c r="B48" s="651"/>
      <c r="C48" s="802" t="s">
        <v>33</v>
      </c>
      <c r="D48" s="803"/>
      <c r="E48" s="58">
        <f t="shared" si="40"/>
        <v>167</v>
      </c>
      <c r="F48" s="59">
        <f t="shared" si="40"/>
        <v>118</v>
      </c>
      <c r="G48" s="60">
        <f t="shared" si="40"/>
        <v>79</v>
      </c>
      <c r="H48" s="59">
        <f t="shared" si="40"/>
        <v>68</v>
      </c>
      <c r="I48" s="59">
        <f t="shared" si="40"/>
        <v>78</v>
      </c>
      <c r="J48" s="61">
        <f t="shared" si="40"/>
        <v>74</v>
      </c>
      <c r="K48" s="61">
        <f t="shared" si="40"/>
        <v>20</v>
      </c>
      <c r="L48" s="61">
        <f t="shared" si="40"/>
        <v>13</v>
      </c>
      <c r="M48" s="55">
        <f t="shared" si="40"/>
        <v>4</v>
      </c>
      <c r="N48" s="55">
        <f t="shared" si="40"/>
        <v>1</v>
      </c>
      <c r="O48" s="56">
        <f t="shared" si="40"/>
        <v>3</v>
      </c>
      <c r="P48" s="62">
        <f t="shared" si="1"/>
        <v>625</v>
      </c>
      <c r="Q48" s="384">
        <v>38</v>
      </c>
      <c r="R48" s="418">
        <v>39</v>
      </c>
      <c r="S48" s="418">
        <v>23</v>
      </c>
      <c r="T48" s="385">
        <v>19</v>
      </c>
      <c r="U48" s="385">
        <v>25</v>
      </c>
      <c r="V48" s="386">
        <v>20</v>
      </c>
      <c r="W48" s="386">
        <v>7</v>
      </c>
      <c r="X48" s="386">
        <v>5</v>
      </c>
      <c r="Y48" s="386">
        <v>2</v>
      </c>
      <c r="Z48" s="386">
        <v>0</v>
      </c>
      <c r="AA48" s="387">
        <v>1</v>
      </c>
      <c r="AB48" s="271">
        <f t="shared" si="41"/>
        <v>179</v>
      </c>
      <c r="AC48" s="384">
        <v>129</v>
      </c>
      <c r="AD48" s="418">
        <v>79</v>
      </c>
      <c r="AE48" s="418">
        <v>56</v>
      </c>
      <c r="AF48" s="385">
        <v>49</v>
      </c>
      <c r="AG48" s="385">
        <v>53</v>
      </c>
      <c r="AH48" s="386">
        <v>54</v>
      </c>
      <c r="AI48" s="386">
        <v>13</v>
      </c>
      <c r="AJ48" s="386">
        <v>8</v>
      </c>
      <c r="AK48" s="386">
        <v>2</v>
      </c>
      <c r="AL48" s="386">
        <v>1</v>
      </c>
      <c r="AM48" s="393">
        <v>2</v>
      </c>
      <c r="AN48" s="271">
        <f t="shared" si="42"/>
        <v>446</v>
      </c>
    </row>
    <row r="49" spans="1:40" s="8" customFormat="1" ht="21" customHeight="1">
      <c r="A49" s="9"/>
      <c r="B49" s="651"/>
      <c r="C49" s="802" t="s">
        <v>34</v>
      </c>
      <c r="D49" s="803"/>
      <c r="E49" s="58">
        <f t="shared" si="40"/>
        <v>148</v>
      </c>
      <c r="F49" s="59">
        <f t="shared" si="40"/>
        <v>110</v>
      </c>
      <c r="G49" s="60">
        <f t="shared" si="40"/>
        <v>62</v>
      </c>
      <c r="H49" s="59">
        <f t="shared" si="40"/>
        <v>67</v>
      </c>
      <c r="I49" s="59">
        <f t="shared" si="40"/>
        <v>83</v>
      </c>
      <c r="J49" s="61">
        <f t="shared" si="40"/>
        <v>96</v>
      </c>
      <c r="K49" s="61">
        <f t="shared" si="40"/>
        <v>10</v>
      </c>
      <c r="L49" s="61">
        <f t="shared" si="40"/>
        <v>11</v>
      </c>
      <c r="M49" s="55">
        <f t="shared" si="40"/>
        <v>3</v>
      </c>
      <c r="N49" s="55">
        <f t="shared" si="40"/>
        <v>1</v>
      </c>
      <c r="O49" s="56">
        <f t="shared" si="40"/>
        <v>4</v>
      </c>
      <c r="P49" s="62">
        <f t="shared" si="1"/>
        <v>595</v>
      </c>
      <c r="Q49" s="384">
        <v>41</v>
      </c>
      <c r="R49" s="418">
        <v>39</v>
      </c>
      <c r="S49" s="418">
        <v>24</v>
      </c>
      <c r="T49" s="385">
        <v>20</v>
      </c>
      <c r="U49" s="385">
        <v>31</v>
      </c>
      <c r="V49" s="386">
        <v>36</v>
      </c>
      <c r="W49" s="386">
        <v>4</v>
      </c>
      <c r="X49" s="386">
        <v>3</v>
      </c>
      <c r="Y49" s="386">
        <v>2</v>
      </c>
      <c r="Z49" s="386">
        <v>1</v>
      </c>
      <c r="AA49" s="387">
        <v>2</v>
      </c>
      <c r="AB49" s="271">
        <f t="shared" si="41"/>
        <v>203</v>
      </c>
      <c r="AC49" s="384">
        <v>107</v>
      </c>
      <c r="AD49" s="418">
        <v>71</v>
      </c>
      <c r="AE49" s="418">
        <v>38</v>
      </c>
      <c r="AF49" s="385">
        <v>47</v>
      </c>
      <c r="AG49" s="385">
        <v>52</v>
      </c>
      <c r="AH49" s="386">
        <v>60</v>
      </c>
      <c r="AI49" s="386">
        <v>6</v>
      </c>
      <c r="AJ49" s="386">
        <v>8</v>
      </c>
      <c r="AK49" s="386">
        <v>1</v>
      </c>
      <c r="AL49" s="386">
        <v>0</v>
      </c>
      <c r="AM49" s="393">
        <v>2</v>
      </c>
      <c r="AN49" s="271">
        <f t="shared" si="42"/>
        <v>392</v>
      </c>
    </row>
    <row r="50" spans="1:40" s="8" customFormat="1" ht="21" customHeight="1">
      <c r="A50" s="9"/>
      <c r="B50" s="651"/>
      <c r="C50" s="802" t="s">
        <v>35</v>
      </c>
      <c r="D50" s="803"/>
      <c r="E50" s="58">
        <f t="shared" si="40"/>
        <v>180</v>
      </c>
      <c r="F50" s="59">
        <f t="shared" si="40"/>
        <v>73</v>
      </c>
      <c r="G50" s="60">
        <f t="shared" si="40"/>
        <v>58</v>
      </c>
      <c r="H50" s="59">
        <f t="shared" si="40"/>
        <v>56</v>
      </c>
      <c r="I50" s="59">
        <f t="shared" si="40"/>
        <v>49</v>
      </c>
      <c r="J50" s="61">
        <f t="shared" si="40"/>
        <v>88</v>
      </c>
      <c r="K50" s="61">
        <f t="shared" si="40"/>
        <v>6</v>
      </c>
      <c r="L50" s="61">
        <f t="shared" si="40"/>
        <v>8</v>
      </c>
      <c r="M50" s="55">
        <f t="shared" si="40"/>
        <v>6</v>
      </c>
      <c r="N50" s="55">
        <f t="shared" si="40"/>
        <v>3</v>
      </c>
      <c r="O50" s="56">
        <f t="shared" si="40"/>
        <v>0</v>
      </c>
      <c r="P50" s="62">
        <f t="shared" si="1"/>
        <v>527</v>
      </c>
      <c r="Q50" s="384">
        <v>47</v>
      </c>
      <c r="R50" s="418">
        <v>25</v>
      </c>
      <c r="S50" s="418">
        <v>18</v>
      </c>
      <c r="T50" s="385">
        <v>10</v>
      </c>
      <c r="U50" s="385">
        <v>14</v>
      </c>
      <c r="V50" s="386">
        <v>24</v>
      </c>
      <c r="W50" s="386">
        <v>1</v>
      </c>
      <c r="X50" s="386">
        <v>2</v>
      </c>
      <c r="Y50" s="386">
        <v>3</v>
      </c>
      <c r="Z50" s="386">
        <v>2</v>
      </c>
      <c r="AA50" s="387">
        <v>0</v>
      </c>
      <c r="AB50" s="271">
        <f t="shared" si="41"/>
        <v>146</v>
      </c>
      <c r="AC50" s="384">
        <v>133</v>
      </c>
      <c r="AD50" s="418">
        <v>48</v>
      </c>
      <c r="AE50" s="418">
        <v>40</v>
      </c>
      <c r="AF50" s="385">
        <v>46</v>
      </c>
      <c r="AG50" s="385">
        <v>35</v>
      </c>
      <c r="AH50" s="386">
        <v>64</v>
      </c>
      <c r="AI50" s="386">
        <v>5</v>
      </c>
      <c r="AJ50" s="386">
        <v>6</v>
      </c>
      <c r="AK50" s="386">
        <v>3</v>
      </c>
      <c r="AL50" s="386">
        <v>1</v>
      </c>
      <c r="AM50" s="393">
        <v>0</v>
      </c>
      <c r="AN50" s="271">
        <f t="shared" si="42"/>
        <v>381</v>
      </c>
    </row>
    <row r="51" spans="1:40" s="8" customFormat="1" ht="21" customHeight="1">
      <c r="A51" s="9"/>
      <c r="B51" s="651"/>
      <c r="C51" s="802" t="s">
        <v>36</v>
      </c>
      <c r="D51" s="803"/>
      <c r="E51" s="58">
        <f t="shared" si="40"/>
        <v>523</v>
      </c>
      <c r="F51" s="59">
        <f t="shared" si="40"/>
        <v>295</v>
      </c>
      <c r="G51" s="60">
        <f t="shared" si="40"/>
        <v>194</v>
      </c>
      <c r="H51" s="59">
        <f t="shared" si="40"/>
        <v>193</v>
      </c>
      <c r="I51" s="59">
        <f t="shared" si="40"/>
        <v>298</v>
      </c>
      <c r="J51" s="61">
        <f t="shared" si="40"/>
        <v>235</v>
      </c>
      <c r="K51" s="61">
        <f t="shared" si="40"/>
        <v>24</v>
      </c>
      <c r="L51" s="61">
        <f t="shared" si="40"/>
        <v>51</v>
      </c>
      <c r="M51" s="55">
        <f t="shared" si="40"/>
        <v>24</v>
      </c>
      <c r="N51" s="55">
        <f t="shared" si="40"/>
        <v>12</v>
      </c>
      <c r="O51" s="56">
        <f t="shared" si="40"/>
        <v>25</v>
      </c>
      <c r="P51" s="62">
        <f t="shared" si="1"/>
        <v>1874</v>
      </c>
      <c r="Q51" s="384">
        <v>121</v>
      </c>
      <c r="R51" s="418">
        <v>105</v>
      </c>
      <c r="S51" s="418">
        <v>53</v>
      </c>
      <c r="T51" s="385">
        <v>40</v>
      </c>
      <c r="U51" s="385">
        <v>93</v>
      </c>
      <c r="V51" s="386">
        <v>61</v>
      </c>
      <c r="W51" s="386">
        <v>13</v>
      </c>
      <c r="X51" s="386">
        <v>19</v>
      </c>
      <c r="Y51" s="386">
        <v>16</v>
      </c>
      <c r="Z51" s="386">
        <v>7</v>
      </c>
      <c r="AA51" s="387">
        <v>12</v>
      </c>
      <c r="AB51" s="271">
        <f t="shared" si="41"/>
        <v>540</v>
      </c>
      <c r="AC51" s="384">
        <v>402</v>
      </c>
      <c r="AD51" s="418">
        <v>190</v>
      </c>
      <c r="AE51" s="418">
        <v>141</v>
      </c>
      <c r="AF51" s="385">
        <v>153</v>
      </c>
      <c r="AG51" s="385">
        <v>205</v>
      </c>
      <c r="AH51" s="386">
        <v>174</v>
      </c>
      <c r="AI51" s="386">
        <v>11</v>
      </c>
      <c r="AJ51" s="386">
        <v>32</v>
      </c>
      <c r="AK51" s="386">
        <v>8</v>
      </c>
      <c r="AL51" s="386">
        <v>5</v>
      </c>
      <c r="AM51" s="393">
        <v>13</v>
      </c>
      <c r="AN51" s="271">
        <f t="shared" si="42"/>
        <v>1334</v>
      </c>
    </row>
    <row r="52" spans="2:43" s="9" customFormat="1" ht="21" customHeight="1" thickBot="1">
      <c r="B52" s="651"/>
      <c r="C52" s="804" t="s">
        <v>37</v>
      </c>
      <c r="D52" s="805"/>
      <c r="E52" s="63">
        <f t="shared" si="40"/>
        <v>350</v>
      </c>
      <c r="F52" s="64">
        <f t="shared" si="40"/>
        <v>186</v>
      </c>
      <c r="G52" s="65">
        <f t="shared" si="40"/>
        <v>124</v>
      </c>
      <c r="H52" s="64">
        <f t="shared" si="40"/>
        <v>129</v>
      </c>
      <c r="I52" s="64">
        <f t="shared" si="40"/>
        <v>133</v>
      </c>
      <c r="J52" s="55">
        <f t="shared" si="40"/>
        <v>153</v>
      </c>
      <c r="K52" s="55">
        <f t="shared" si="40"/>
        <v>35</v>
      </c>
      <c r="L52" s="55">
        <f t="shared" si="40"/>
        <v>36</v>
      </c>
      <c r="M52" s="55">
        <f t="shared" si="40"/>
        <v>7</v>
      </c>
      <c r="N52" s="55">
        <f t="shared" si="40"/>
        <v>6</v>
      </c>
      <c r="O52" s="56">
        <f t="shared" si="40"/>
        <v>9</v>
      </c>
      <c r="P52" s="81">
        <f t="shared" si="1"/>
        <v>1168</v>
      </c>
      <c r="Q52" s="388">
        <v>91</v>
      </c>
      <c r="R52" s="419">
        <v>57</v>
      </c>
      <c r="S52" s="419">
        <v>35</v>
      </c>
      <c r="T52" s="389">
        <v>27</v>
      </c>
      <c r="U52" s="389">
        <v>34</v>
      </c>
      <c r="V52" s="390">
        <v>49</v>
      </c>
      <c r="W52" s="390">
        <v>10</v>
      </c>
      <c r="X52" s="390">
        <v>9</v>
      </c>
      <c r="Y52" s="390">
        <v>4</v>
      </c>
      <c r="Z52" s="390">
        <v>4</v>
      </c>
      <c r="AA52" s="391">
        <v>3</v>
      </c>
      <c r="AB52" s="276">
        <f t="shared" si="41"/>
        <v>323</v>
      </c>
      <c r="AC52" s="388">
        <v>259</v>
      </c>
      <c r="AD52" s="419">
        <v>129</v>
      </c>
      <c r="AE52" s="419">
        <v>89</v>
      </c>
      <c r="AF52" s="389">
        <v>102</v>
      </c>
      <c r="AG52" s="389">
        <v>99</v>
      </c>
      <c r="AH52" s="390">
        <v>104</v>
      </c>
      <c r="AI52" s="390">
        <v>25</v>
      </c>
      <c r="AJ52" s="390">
        <v>27</v>
      </c>
      <c r="AK52" s="390">
        <v>3</v>
      </c>
      <c r="AL52" s="390">
        <v>2</v>
      </c>
      <c r="AM52" s="394">
        <v>6</v>
      </c>
      <c r="AN52" s="276">
        <f t="shared" si="42"/>
        <v>845</v>
      </c>
      <c r="AQ52" s="8"/>
    </row>
    <row r="53" spans="1:40" s="8" customFormat="1" ht="21" customHeight="1" thickBot="1" thickTop="1">
      <c r="A53" s="9"/>
      <c r="B53" s="652"/>
      <c r="C53" s="806" t="s">
        <v>7</v>
      </c>
      <c r="D53" s="807"/>
      <c r="E53" s="47">
        <f aca="true" t="shared" si="43" ref="E53:O53">SUM(E47:E52)</f>
        <v>2688</v>
      </c>
      <c r="F53" s="48">
        <f>SUM(F47:F52)</f>
        <v>1537</v>
      </c>
      <c r="G53" s="49">
        <f>SUM(G47:G52)</f>
        <v>994</v>
      </c>
      <c r="H53" s="48">
        <f t="shared" si="43"/>
        <v>1013</v>
      </c>
      <c r="I53" s="48">
        <f t="shared" si="43"/>
        <v>1223</v>
      </c>
      <c r="J53" s="50">
        <f t="shared" si="43"/>
        <v>1210</v>
      </c>
      <c r="K53" s="50">
        <f t="shared" si="43"/>
        <v>141</v>
      </c>
      <c r="L53" s="50">
        <f t="shared" si="43"/>
        <v>222</v>
      </c>
      <c r="M53" s="50">
        <f t="shared" si="43"/>
        <v>68</v>
      </c>
      <c r="N53" s="50">
        <f t="shared" si="43"/>
        <v>53</v>
      </c>
      <c r="O53" s="51">
        <f t="shared" si="43"/>
        <v>48</v>
      </c>
      <c r="P53" s="82">
        <f t="shared" si="1"/>
        <v>9197</v>
      </c>
      <c r="Q53" s="265">
        <f aca="true" t="shared" si="44" ref="Q53:AA53">SUM(Q47:Q52)</f>
        <v>615</v>
      </c>
      <c r="R53" s="282">
        <f t="shared" si="44"/>
        <v>479</v>
      </c>
      <c r="S53" s="282">
        <f t="shared" si="44"/>
        <v>267</v>
      </c>
      <c r="T53" s="266">
        <f t="shared" si="44"/>
        <v>205</v>
      </c>
      <c r="U53" s="266">
        <f t="shared" si="44"/>
        <v>325</v>
      </c>
      <c r="V53" s="267">
        <f t="shared" si="44"/>
        <v>316</v>
      </c>
      <c r="W53" s="267">
        <f t="shared" si="44"/>
        <v>48</v>
      </c>
      <c r="X53" s="267">
        <f t="shared" si="44"/>
        <v>58</v>
      </c>
      <c r="Y53" s="267">
        <f t="shared" si="44"/>
        <v>42</v>
      </c>
      <c r="Z53" s="267">
        <f t="shared" si="44"/>
        <v>20</v>
      </c>
      <c r="AA53" s="267">
        <f t="shared" si="44"/>
        <v>24</v>
      </c>
      <c r="AB53" s="269">
        <f t="shared" si="41"/>
        <v>2399</v>
      </c>
      <c r="AC53" s="265">
        <f aca="true" t="shared" si="45" ref="AC53:AM53">SUM(AC47:AC52)</f>
        <v>2073</v>
      </c>
      <c r="AD53" s="282">
        <f t="shared" si="45"/>
        <v>1058</v>
      </c>
      <c r="AE53" s="282">
        <f t="shared" si="45"/>
        <v>727</v>
      </c>
      <c r="AF53" s="309">
        <f t="shared" si="45"/>
        <v>808</v>
      </c>
      <c r="AG53" s="309">
        <f t="shared" si="45"/>
        <v>898</v>
      </c>
      <c r="AH53" s="291">
        <f t="shared" si="45"/>
        <v>894</v>
      </c>
      <c r="AI53" s="291">
        <f t="shared" si="45"/>
        <v>93</v>
      </c>
      <c r="AJ53" s="291">
        <f t="shared" si="45"/>
        <v>164</v>
      </c>
      <c r="AK53" s="291">
        <f t="shared" si="45"/>
        <v>26</v>
      </c>
      <c r="AL53" s="291">
        <f t="shared" si="45"/>
        <v>33</v>
      </c>
      <c r="AM53" s="291">
        <f t="shared" si="45"/>
        <v>24</v>
      </c>
      <c r="AN53" s="270">
        <f t="shared" si="42"/>
        <v>6798</v>
      </c>
    </row>
    <row r="54" spans="2:43" s="9" customFormat="1" ht="21" customHeight="1">
      <c r="B54" s="464" t="s">
        <v>38</v>
      </c>
      <c r="C54" s="465"/>
      <c r="D54" s="466"/>
      <c r="E54" s="91">
        <f aca="true" t="shared" si="46" ref="E54:AN54">SUM(E13,E9,E14,E17,E18,E20,E24,E36,E42,E44,E45,E47)</f>
        <v>31096</v>
      </c>
      <c r="F54" s="92">
        <f t="shared" si="46"/>
        <v>15959</v>
      </c>
      <c r="G54" s="93">
        <f t="shared" si="46"/>
        <v>10004</v>
      </c>
      <c r="H54" s="94">
        <f t="shared" si="46"/>
        <v>10351</v>
      </c>
      <c r="I54" s="94">
        <f t="shared" si="46"/>
        <v>11088</v>
      </c>
      <c r="J54" s="94">
        <f t="shared" si="46"/>
        <v>11160</v>
      </c>
      <c r="K54" s="94">
        <f t="shared" si="46"/>
        <v>1074</v>
      </c>
      <c r="L54" s="94">
        <f t="shared" si="46"/>
        <v>1862</v>
      </c>
      <c r="M54" s="92">
        <f t="shared" si="46"/>
        <v>636</v>
      </c>
      <c r="N54" s="92">
        <f t="shared" si="46"/>
        <v>527</v>
      </c>
      <c r="O54" s="95">
        <f t="shared" si="46"/>
        <v>663</v>
      </c>
      <c r="P54" s="96">
        <f t="shared" si="46"/>
        <v>94420</v>
      </c>
      <c r="Q54" s="310">
        <f t="shared" si="46"/>
        <v>6636</v>
      </c>
      <c r="R54" s="311">
        <f t="shared" si="46"/>
        <v>4626</v>
      </c>
      <c r="S54" s="312">
        <f t="shared" si="46"/>
        <v>2517</v>
      </c>
      <c r="T54" s="311">
        <f t="shared" si="46"/>
        <v>2007</v>
      </c>
      <c r="U54" s="311">
        <f t="shared" si="46"/>
        <v>2457</v>
      </c>
      <c r="V54" s="311">
        <f t="shared" si="46"/>
        <v>2678</v>
      </c>
      <c r="W54" s="311">
        <f t="shared" si="46"/>
        <v>344</v>
      </c>
      <c r="X54" s="311">
        <f t="shared" si="46"/>
        <v>446</v>
      </c>
      <c r="Y54" s="311">
        <f t="shared" si="46"/>
        <v>418</v>
      </c>
      <c r="Z54" s="311">
        <f t="shared" si="46"/>
        <v>215</v>
      </c>
      <c r="AA54" s="313">
        <f t="shared" si="46"/>
        <v>304</v>
      </c>
      <c r="AB54" s="312">
        <f t="shared" si="46"/>
        <v>22648</v>
      </c>
      <c r="AC54" s="314">
        <f t="shared" si="46"/>
        <v>24460</v>
      </c>
      <c r="AD54" s="311">
        <f t="shared" si="46"/>
        <v>11333</v>
      </c>
      <c r="AE54" s="315">
        <f t="shared" si="46"/>
        <v>7487</v>
      </c>
      <c r="AF54" s="316">
        <f t="shared" si="46"/>
        <v>8344</v>
      </c>
      <c r="AG54" s="316">
        <f t="shared" si="46"/>
        <v>8631</v>
      </c>
      <c r="AH54" s="316">
        <f t="shared" si="46"/>
        <v>8482</v>
      </c>
      <c r="AI54" s="316">
        <f t="shared" si="46"/>
        <v>730</v>
      </c>
      <c r="AJ54" s="316">
        <f t="shared" si="46"/>
        <v>1416</v>
      </c>
      <c r="AK54" s="316">
        <f t="shared" si="46"/>
        <v>218</v>
      </c>
      <c r="AL54" s="316">
        <f t="shared" si="46"/>
        <v>312</v>
      </c>
      <c r="AM54" s="316">
        <f t="shared" si="46"/>
        <v>359</v>
      </c>
      <c r="AN54" s="317">
        <f t="shared" si="46"/>
        <v>71772</v>
      </c>
      <c r="AQ54" s="8"/>
    </row>
    <row r="55" spans="1:40" s="8" customFormat="1" ht="21" customHeight="1">
      <c r="A55" s="9"/>
      <c r="B55" s="467" t="s">
        <v>39</v>
      </c>
      <c r="C55" s="468"/>
      <c r="D55" s="469"/>
      <c r="E55" s="97">
        <f aca="true" t="shared" si="47" ref="E55:AN55">E10+E11+E15+E21+E22+E25+E26+E27+E29+E30+E31+E32+E33+E34+E37+E38+E39+E40+E48+E49+E50+E51+E52</f>
        <v>5523</v>
      </c>
      <c r="F55" s="98">
        <f t="shared" si="47"/>
        <v>3064</v>
      </c>
      <c r="G55" s="99">
        <f t="shared" si="47"/>
        <v>2409</v>
      </c>
      <c r="H55" s="98">
        <f t="shared" si="47"/>
        <v>2515</v>
      </c>
      <c r="I55" s="98">
        <f t="shared" si="47"/>
        <v>2246</v>
      </c>
      <c r="J55" s="98">
        <f t="shared" si="47"/>
        <v>2424</v>
      </c>
      <c r="K55" s="98">
        <f t="shared" si="47"/>
        <v>343</v>
      </c>
      <c r="L55" s="98">
        <f t="shared" si="47"/>
        <v>453</v>
      </c>
      <c r="M55" s="98">
        <f t="shared" si="47"/>
        <v>102</v>
      </c>
      <c r="N55" s="98">
        <f t="shared" si="47"/>
        <v>88</v>
      </c>
      <c r="O55" s="100">
        <f t="shared" si="47"/>
        <v>269</v>
      </c>
      <c r="P55" s="101">
        <f t="shared" si="47"/>
        <v>19436</v>
      </c>
      <c r="Q55" s="318">
        <f t="shared" si="47"/>
        <v>1290</v>
      </c>
      <c r="R55" s="319">
        <f t="shared" si="47"/>
        <v>956</v>
      </c>
      <c r="S55" s="320">
        <f t="shared" si="47"/>
        <v>680</v>
      </c>
      <c r="T55" s="319">
        <f t="shared" si="47"/>
        <v>590</v>
      </c>
      <c r="U55" s="319">
        <f t="shared" si="47"/>
        <v>610</v>
      </c>
      <c r="V55" s="319">
        <f t="shared" si="47"/>
        <v>639</v>
      </c>
      <c r="W55" s="319">
        <f t="shared" si="47"/>
        <v>110</v>
      </c>
      <c r="X55" s="319">
        <f t="shared" si="47"/>
        <v>115</v>
      </c>
      <c r="Y55" s="319">
        <f t="shared" si="47"/>
        <v>72</v>
      </c>
      <c r="Z55" s="319">
        <f t="shared" si="47"/>
        <v>44</v>
      </c>
      <c r="AA55" s="319">
        <f t="shared" si="47"/>
        <v>129</v>
      </c>
      <c r="AB55" s="321">
        <f t="shared" si="47"/>
        <v>5235</v>
      </c>
      <c r="AC55" s="322">
        <f t="shared" si="47"/>
        <v>4233</v>
      </c>
      <c r="AD55" s="319">
        <f t="shared" si="47"/>
        <v>2108</v>
      </c>
      <c r="AE55" s="320">
        <f t="shared" si="47"/>
        <v>1729</v>
      </c>
      <c r="AF55" s="323">
        <f t="shared" si="47"/>
        <v>1925</v>
      </c>
      <c r="AG55" s="323">
        <f t="shared" si="47"/>
        <v>1636</v>
      </c>
      <c r="AH55" s="323">
        <f t="shared" si="47"/>
        <v>1785</v>
      </c>
      <c r="AI55" s="323">
        <f t="shared" si="47"/>
        <v>233</v>
      </c>
      <c r="AJ55" s="323">
        <f t="shared" si="47"/>
        <v>338</v>
      </c>
      <c r="AK55" s="323">
        <f t="shared" si="47"/>
        <v>30</v>
      </c>
      <c r="AL55" s="323">
        <f t="shared" si="47"/>
        <v>44</v>
      </c>
      <c r="AM55" s="324">
        <f t="shared" si="47"/>
        <v>140</v>
      </c>
      <c r="AN55" s="325">
        <f t="shared" si="47"/>
        <v>14201</v>
      </c>
    </row>
    <row r="56" spans="2:40" s="8" customFormat="1" ht="21" customHeight="1" thickBot="1">
      <c r="B56" s="470" t="s">
        <v>40</v>
      </c>
      <c r="C56" s="471"/>
      <c r="D56" s="472"/>
      <c r="E56" s="10">
        <f>SUM(E12,E16,E19,E23,E28,E35,E41,E43,E46,E53)</f>
        <v>36619</v>
      </c>
      <c r="F56" s="18">
        <f aca="true" t="shared" si="48" ref="F56:AN56">SUM(F12,F16,F19,F23,F28,F35,F41,F43,F46,F53)</f>
        <v>19023</v>
      </c>
      <c r="G56" s="19">
        <f t="shared" si="48"/>
        <v>12413</v>
      </c>
      <c r="H56" s="11">
        <f t="shared" si="48"/>
        <v>12866</v>
      </c>
      <c r="I56" s="11">
        <f t="shared" si="48"/>
        <v>13334</v>
      </c>
      <c r="J56" s="12">
        <f t="shared" si="48"/>
        <v>13584</v>
      </c>
      <c r="K56" s="12">
        <f t="shared" si="48"/>
        <v>1417</v>
      </c>
      <c r="L56" s="12">
        <f t="shared" si="48"/>
        <v>2315</v>
      </c>
      <c r="M56" s="12">
        <f t="shared" si="48"/>
        <v>738</v>
      </c>
      <c r="N56" s="12">
        <f t="shared" si="48"/>
        <v>615</v>
      </c>
      <c r="O56" s="13">
        <f t="shared" si="48"/>
        <v>932</v>
      </c>
      <c r="P56" s="14">
        <f t="shared" si="48"/>
        <v>113856</v>
      </c>
      <c r="Q56" s="302">
        <f t="shared" si="48"/>
        <v>7926</v>
      </c>
      <c r="R56" s="326">
        <f t="shared" si="48"/>
        <v>5582</v>
      </c>
      <c r="S56" s="326">
        <f t="shared" si="48"/>
        <v>3197</v>
      </c>
      <c r="T56" s="303">
        <f t="shared" si="48"/>
        <v>2597</v>
      </c>
      <c r="U56" s="303">
        <f t="shared" si="48"/>
        <v>3067</v>
      </c>
      <c r="V56" s="304">
        <f t="shared" si="48"/>
        <v>3317</v>
      </c>
      <c r="W56" s="304">
        <f t="shared" si="48"/>
        <v>454</v>
      </c>
      <c r="X56" s="304">
        <f t="shared" si="48"/>
        <v>561</v>
      </c>
      <c r="Y56" s="304">
        <f t="shared" si="48"/>
        <v>490</v>
      </c>
      <c r="Z56" s="304">
        <f t="shared" si="48"/>
        <v>259</v>
      </c>
      <c r="AA56" s="304">
        <f t="shared" si="48"/>
        <v>433</v>
      </c>
      <c r="AB56" s="305">
        <f t="shared" si="48"/>
        <v>27883</v>
      </c>
      <c r="AC56" s="302">
        <f t="shared" si="48"/>
        <v>28693</v>
      </c>
      <c r="AD56" s="303">
        <f t="shared" si="48"/>
        <v>13441</v>
      </c>
      <c r="AE56" s="326">
        <f t="shared" si="48"/>
        <v>9216</v>
      </c>
      <c r="AF56" s="303">
        <f t="shared" si="48"/>
        <v>10269</v>
      </c>
      <c r="AG56" s="303">
        <f t="shared" si="48"/>
        <v>10267</v>
      </c>
      <c r="AH56" s="304">
        <f t="shared" si="48"/>
        <v>10267</v>
      </c>
      <c r="AI56" s="304">
        <f t="shared" si="48"/>
        <v>963</v>
      </c>
      <c r="AJ56" s="304">
        <f t="shared" si="48"/>
        <v>1754</v>
      </c>
      <c r="AK56" s="304">
        <f t="shared" si="48"/>
        <v>248</v>
      </c>
      <c r="AL56" s="304">
        <f t="shared" si="48"/>
        <v>356</v>
      </c>
      <c r="AM56" s="306">
        <f t="shared" si="48"/>
        <v>499</v>
      </c>
      <c r="AN56" s="305">
        <f t="shared" si="48"/>
        <v>85973</v>
      </c>
    </row>
    <row r="57" spans="2:40" s="8" customFormat="1" ht="10.5" customHeight="1">
      <c r="B57" s="15"/>
      <c r="C57" s="15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2:4" s="8" customFormat="1" ht="10.5" customHeight="1">
      <c r="B58" s="15"/>
      <c r="C58" s="15"/>
      <c r="D58" s="16"/>
    </row>
    <row r="59" spans="2:40" s="8" customFormat="1" ht="10.5" customHeight="1" hidden="1">
      <c r="B59" s="15"/>
      <c r="C59" s="15"/>
      <c r="D59" s="16"/>
      <c r="E59" s="8">
        <f>E54+E55</f>
        <v>36619</v>
      </c>
      <c r="F59" s="8">
        <f>F54+F55</f>
        <v>19023</v>
      </c>
      <c r="G59" s="8">
        <f>G54+G55</f>
        <v>12413</v>
      </c>
      <c r="H59" s="8">
        <f aca="true" t="shared" si="49" ref="H59:AM59">H54+H55</f>
        <v>12866</v>
      </c>
      <c r="I59" s="8">
        <f t="shared" si="49"/>
        <v>13334</v>
      </c>
      <c r="J59" s="8">
        <f t="shared" si="49"/>
        <v>13584</v>
      </c>
      <c r="K59" s="8">
        <f t="shared" si="49"/>
        <v>1417</v>
      </c>
      <c r="L59" s="8">
        <f t="shared" si="49"/>
        <v>2315</v>
      </c>
      <c r="M59" s="8">
        <f t="shared" si="49"/>
        <v>738</v>
      </c>
      <c r="N59" s="8">
        <f t="shared" si="49"/>
        <v>615</v>
      </c>
      <c r="O59" s="8">
        <f t="shared" si="49"/>
        <v>932</v>
      </c>
      <c r="P59" s="8">
        <f t="shared" si="49"/>
        <v>113856</v>
      </c>
      <c r="Q59" s="8">
        <f t="shared" si="49"/>
        <v>7926</v>
      </c>
      <c r="R59" s="8">
        <f t="shared" si="49"/>
        <v>5582</v>
      </c>
      <c r="S59" s="8">
        <f t="shared" si="49"/>
        <v>3197</v>
      </c>
      <c r="T59" s="8">
        <f t="shared" si="49"/>
        <v>2597</v>
      </c>
      <c r="U59" s="8">
        <f t="shared" si="49"/>
        <v>3067</v>
      </c>
      <c r="V59" s="8">
        <f t="shared" si="49"/>
        <v>3317</v>
      </c>
      <c r="W59" s="8">
        <f t="shared" si="49"/>
        <v>454</v>
      </c>
      <c r="X59" s="8">
        <f t="shared" si="49"/>
        <v>561</v>
      </c>
      <c r="Y59" s="8">
        <f t="shared" si="49"/>
        <v>490</v>
      </c>
      <c r="Z59" s="8">
        <f t="shared" si="49"/>
        <v>259</v>
      </c>
      <c r="AA59" s="8">
        <f t="shared" si="49"/>
        <v>433</v>
      </c>
      <c r="AB59" s="8">
        <f t="shared" si="49"/>
        <v>27883</v>
      </c>
      <c r="AC59" s="8">
        <f t="shared" si="49"/>
        <v>28693</v>
      </c>
      <c r="AD59" s="8">
        <f t="shared" si="49"/>
        <v>13441</v>
      </c>
      <c r="AE59" s="8">
        <f t="shared" si="49"/>
        <v>9216</v>
      </c>
      <c r="AF59" s="8">
        <f t="shared" si="49"/>
        <v>10269</v>
      </c>
      <c r="AG59" s="8">
        <f t="shared" si="49"/>
        <v>10267</v>
      </c>
      <c r="AH59" s="8">
        <f t="shared" si="49"/>
        <v>10267</v>
      </c>
      <c r="AI59" s="8">
        <f t="shared" si="49"/>
        <v>963</v>
      </c>
      <c r="AJ59" s="8">
        <f t="shared" si="49"/>
        <v>1754</v>
      </c>
      <c r="AK59" s="8">
        <f t="shared" si="49"/>
        <v>248</v>
      </c>
      <c r="AL59" s="8">
        <f t="shared" si="49"/>
        <v>356</v>
      </c>
      <c r="AM59" s="8">
        <f t="shared" si="49"/>
        <v>499</v>
      </c>
      <c r="AN59" s="8">
        <f>AN54+AN55</f>
        <v>85973</v>
      </c>
    </row>
    <row r="60" spans="2:4" s="8" customFormat="1" ht="10.5" customHeight="1">
      <c r="B60" s="15"/>
      <c r="C60" s="15"/>
      <c r="D60" s="16"/>
    </row>
    <row r="61" spans="2:4" s="8" customFormat="1" ht="10.5" customHeight="1">
      <c r="B61" s="15"/>
      <c r="C61" s="15"/>
      <c r="D61" s="16"/>
    </row>
    <row r="62" spans="2:4" s="8" customFormat="1" ht="10.5" customHeight="1">
      <c r="B62" s="15"/>
      <c r="C62" s="15"/>
      <c r="D62" s="16"/>
    </row>
    <row r="63" spans="2:4" s="8" customFormat="1" ht="10.5" customHeight="1">
      <c r="B63" s="15"/>
      <c r="C63" s="15"/>
      <c r="D63" s="16"/>
    </row>
    <row r="64" spans="2:4" s="8" customFormat="1" ht="10.5" customHeight="1">
      <c r="B64" s="15"/>
      <c r="C64" s="15"/>
      <c r="D64" s="16"/>
    </row>
    <row r="65" spans="2:4" s="8" customFormat="1" ht="10.5" customHeight="1">
      <c r="B65" s="15"/>
      <c r="C65" s="15"/>
      <c r="D65" s="16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</sheetData>
  <sheetProtection/>
  <mergeCells count="96">
    <mergeCell ref="B3:B8"/>
    <mergeCell ref="C3:D8"/>
    <mergeCell ref="E3:P3"/>
    <mergeCell ref="Q3:AB3"/>
    <mergeCell ref="AC3:AN3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L5:AL8"/>
    <mergeCell ref="AM5:AM8"/>
    <mergeCell ref="AB5:AB8"/>
    <mergeCell ref="AC5:AC8"/>
    <mergeCell ref="AD5:AD8"/>
    <mergeCell ref="AE5:AE8"/>
    <mergeCell ref="AF5:AF8"/>
    <mergeCell ref="AG5:AG8"/>
    <mergeCell ref="AN5:AN8"/>
    <mergeCell ref="C13:D13"/>
    <mergeCell ref="C9:D9"/>
    <mergeCell ref="C10:D10"/>
    <mergeCell ref="C11:D11"/>
    <mergeCell ref="C12:D12"/>
    <mergeCell ref="AH5:AH8"/>
    <mergeCell ref="AI5:AI8"/>
    <mergeCell ref="AJ5:AJ8"/>
    <mergeCell ref="AK5:AK8"/>
    <mergeCell ref="C14:D14"/>
    <mergeCell ref="C15:D15"/>
    <mergeCell ref="C16:D16"/>
    <mergeCell ref="B17:B19"/>
    <mergeCell ref="C17:D17"/>
    <mergeCell ref="C18:D18"/>
    <mergeCell ref="C19:D19"/>
    <mergeCell ref="B13:B16"/>
    <mergeCell ref="B20:B23"/>
    <mergeCell ref="C20:D20"/>
    <mergeCell ref="C21:D21"/>
    <mergeCell ref="C22:D22"/>
    <mergeCell ref="C23:D23"/>
    <mergeCell ref="B24:B28"/>
    <mergeCell ref="C24:D24"/>
    <mergeCell ref="C25:D25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36:B41"/>
    <mergeCell ref="C36:D36"/>
    <mergeCell ref="C37:D37"/>
    <mergeCell ref="C38:D38"/>
    <mergeCell ref="C39:D39"/>
    <mergeCell ref="C40:D40"/>
    <mergeCell ref="C41:D41"/>
    <mergeCell ref="C42:D42"/>
    <mergeCell ref="C43:D43"/>
    <mergeCell ref="B44:B46"/>
    <mergeCell ref="C44:D44"/>
    <mergeCell ref="C45:D45"/>
    <mergeCell ref="C46:D46"/>
    <mergeCell ref="B9:B12"/>
    <mergeCell ref="B47:B53"/>
    <mergeCell ref="C47:D47"/>
    <mergeCell ref="C48:D48"/>
    <mergeCell ref="C49:D49"/>
    <mergeCell ref="C50:D50"/>
    <mergeCell ref="C51:D51"/>
    <mergeCell ref="C52:D52"/>
    <mergeCell ref="C53:D53"/>
    <mergeCell ref="B42:B43"/>
  </mergeCells>
  <printOptions horizontalCentered="1"/>
  <pageMargins left="0.2362204724409449" right="0.2362204724409449" top="0.7480314960629921" bottom="0.7480314960629921" header="0.31496062992125984" footer="0.31496062992125984"/>
  <pageSetup firstPageNumber="7" useFirstPageNumber="1" fitToHeight="0" horizontalDpi="600" verticalDpi="600" orientation="portrait" paperSize="9" scale="64" r:id="rId1"/>
  <headerFooter alignWithMargins="0">
    <oddFooter>&amp;C&amp;"ＭＳ ゴシック,標準"&amp;14&amp;P</oddFooter>
  </headerFooter>
  <colBreaks count="1" manualBreakCount="1">
    <brk id="16" max="55" man="1"/>
  </colBreaks>
  <ignoredErrors>
    <ignoredError sqref="C54:D56 C14:D53 C9:D12 B54:B56" unlockedFormula="1"/>
    <ignoredError sqref="E53:AN54 E48:P48 AB48 AN48 E12:AN12 E9:P11 AB9:AB11 AN9:AN11 E14:P15 AB14:AB15 AN14:AN15 E19:AN19 E17:P18 AB17 AN17:AN18 E23:AN23 E20:P22 AB21:AB22 AN20:AN22 E28:AN28 E24:P27 AB24:AB27 AN24:AN27 E35:AN35 E29:P34 AB30:AB34 AN29:AN34 E41:AN41 E36:P40 AB36:AB40 AN36:AN40 E43:AN43 E42:P42 AB42 AN42 E46:AN46 E44:P45 AB44:AB45 AN44:AN45 E49:P52 AB49:AB52 E47:P47 AB47 AN49:AN52 AN47 F55:AN5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C:\お仕事専用　弐号！\81調査\Ｈ１０集計\ひとり計.jsd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rika</cp:lastModifiedBy>
  <cp:lastPrinted>2018-02-13T00:22:22Z</cp:lastPrinted>
  <dcterms:created xsi:type="dcterms:W3CDTF">1999-04-05T01:07:12Z</dcterms:created>
  <dcterms:modified xsi:type="dcterms:W3CDTF">2018-03-01T01:16:16Z</dcterms:modified>
  <cp:category/>
  <cp:version/>
  <cp:contentType/>
  <cp:contentStatus/>
  <cp:revision>5</cp:revision>
</cp:coreProperties>
</file>