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020" windowWidth="14370" windowHeight="7425" activeTab="0"/>
  </bookViews>
  <sheets>
    <sheet name="２１有害捕獲" sheetId="1" r:id="rId1"/>
    <sheet name="年度別" sheetId="2" r:id="rId2"/>
  </sheets>
  <definedNames>
    <definedName name="_xlnm.Print_Area" localSheetId="0">'２１有害捕獲'!$A$1:$R$41</definedName>
  </definedNames>
  <calcPr fullCalcOnLoad="1"/>
</workbook>
</file>

<file path=xl/sharedStrings.xml><?xml version="1.0" encoding="utf-8"?>
<sst xmlns="http://schemas.openxmlformats.org/spreadsheetml/2006/main" count="153" uniqueCount="106">
  <si>
    <t>（１）　鳥類</t>
  </si>
  <si>
    <t>年　度</t>
  </si>
  <si>
    <t>カラス類</t>
  </si>
  <si>
    <t>スズメ類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</si>
  <si>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</si>
  <si>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</si>
  <si>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</si>
  <si>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</si>
  <si>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</si>
  <si>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</si>
  <si>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</si>
  <si>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</si>
  <si>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</si>
  <si>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</si>
  <si>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</si>
  <si>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</si>
  <si>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</si>
  <si>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</si>
  <si>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</si>
  <si>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</si>
  <si>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</si>
  <si>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</si>
  <si>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</si>
  <si>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</si>
  <si>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</si>
  <si>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</si>
  <si>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</si>
  <si>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</si>
  <si>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</si>
  <si>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</si>
  <si>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</si>
  <si>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</si>
  <si>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</si>
  <si>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</si>
  <si>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</si>
  <si>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</si>
  <si>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</si>
  <si>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</si>
  <si>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</si>
  <si>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</si>
  <si>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</si>
  <si>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</si>
  <si>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平成１６年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</si>
  <si>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</si>
  <si>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</si>
  <si>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</si>
  <si>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</si>
  <si>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</si>
  <si>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</si>
  <si>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</si>
  <si>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モグラ</t>
  </si>
  <si>
    <t>イノシシ</t>
  </si>
  <si>
    <t>平成１７年</t>
  </si>
  <si>
    <t>平成１７年</t>
  </si>
  <si>
    <t>環境森林事務所</t>
  </si>
  <si>
    <t>吾　　妻</t>
  </si>
  <si>
    <t>利　　根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</si>
  <si>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</si>
  <si>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</si>
  <si>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</si>
  <si>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</si>
  <si>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</si>
  <si>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</si>
  <si>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</si>
  <si>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藤　　岡</t>
  </si>
  <si>
    <t>富　　岡</t>
  </si>
  <si>
    <t>桐　　生</t>
  </si>
  <si>
    <t>合　　計</t>
  </si>
  <si>
    <t>（２）　獣類</t>
  </si>
  <si>
    <t>クマ</t>
  </si>
  <si>
    <t>キツネ</t>
  </si>
  <si>
    <t>タヌキ</t>
  </si>
  <si>
    <t>オスジカ</t>
  </si>
  <si>
    <t>メスジカ</t>
  </si>
  <si>
    <t>サル</t>
  </si>
  <si>
    <t>アナグマ</t>
  </si>
  <si>
    <t>ハクビシン</t>
  </si>
  <si>
    <t>モグラ</t>
  </si>
  <si>
    <t>アライグマ</t>
  </si>
  <si>
    <t>合    計</t>
  </si>
  <si>
    <t>平成１８年</t>
  </si>
  <si>
    <t>平成１８年</t>
  </si>
  <si>
    <t>カモシカ</t>
  </si>
  <si>
    <t>平成１９年</t>
  </si>
  <si>
    <t>平成１９年</t>
  </si>
  <si>
    <t>渋　　川</t>
  </si>
  <si>
    <t>平成２０年</t>
  </si>
  <si>
    <t>捕獲許可数</t>
  </si>
  <si>
    <t>捕獲数</t>
  </si>
  <si>
    <t>（３）　鳥獣合計</t>
  </si>
  <si>
    <t>平成２０年</t>
  </si>
  <si>
    <t>参考７　　年度別有害鳥獣捕獲による鳥獣捕獲数</t>
  </si>
  <si>
    <t>ムクドリ</t>
  </si>
  <si>
    <t>キジバト</t>
  </si>
  <si>
    <t>ドバト</t>
  </si>
  <si>
    <t>ヒヨドリ</t>
  </si>
  <si>
    <t>カワウ</t>
  </si>
  <si>
    <t>イタチ</t>
  </si>
  <si>
    <t>西　　部</t>
  </si>
  <si>
    <t>事務所</t>
  </si>
  <si>
    <t>平成２１年</t>
  </si>
  <si>
    <t>平成２１年</t>
  </si>
  <si>
    <t>アナグマ</t>
  </si>
  <si>
    <t>アライグマ</t>
  </si>
  <si>
    <t>１２　特別許可（有害捕獲・個体数調整）による鳥獣捕獲に関する事項（H21）</t>
  </si>
  <si>
    <t>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</si>
</sst>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 shrinkToFit="1"/>
    </xf>
    <xf numFmtId="176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 shrinkToFit="1"/>
    </xf>
    <xf numFmtId="176" fontId="0" fillId="0" borderId="23" xfId="0" applyNumberFormat="1" applyBorder="1" applyAlignment="1">
      <alignment horizontal="right" vertical="center" shrinkToFit="1"/>
    </xf>
    <xf numFmtId="178" fontId="4" fillId="0" borderId="22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7" xfId="0" applyNumberFormat="1" applyBorder="1" applyAlignment="1">
      <alignment horizontal="right" vertical="center" shrinkToFit="1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7" xfId="0" applyNumberFormat="1" applyBorder="1" applyAlignment="1">
      <alignment horizontal="right" vertical="center" shrinkToFit="1"/>
    </xf>
    <xf numFmtId="0" fontId="0" fillId="0" borderId="28" xfId="0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 shrinkToFit="1"/>
    </xf>
    <xf numFmtId="178" fontId="0" fillId="0" borderId="22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 shrinkToFit="1"/>
    </xf>
    <xf numFmtId="176" fontId="0" fillId="0" borderId="23" xfId="0" applyNumberForma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32" xfId="0" applyNumberForma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R41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9" max="9" width="9.00390625" style="50" customWidth="1"/>
  </cols>
  <sheetData>
    <row r="1" spans="1:17" ht="19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89</v>
      </c>
      <c r="Q2" s="2"/>
    </row>
    <row r="3" spans="1:18" ht="19.5" customHeight="1">
      <c r="A3" s="78" t="s">
        <v>99</v>
      </c>
      <c r="B3" s="80" t="s">
        <v>58</v>
      </c>
      <c r="C3" s="89" t="s">
        <v>61</v>
      </c>
      <c r="D3" s="85" t="s">
        <v>60</v>
      </c>
      <c r="E3" s="86"/>
      <c r="F3" s="86"/>
      <c r="G3" s="86"/>
      <c r="H3" s="86"/>
      <c r="I3" s="86"/>
      <c r="J3" s="86"/>
      <c r="K3" s="86"/>
      <c r="L3" s="86"/>
      <c r="M3" s="87"/>
      <c r="N3" s="57"/>
      <c r="O3" s="67"/>
      <c r="P3" s="78" t="s">
        <v>54</v>
      </c>
      <c r="Q3" s="80" t="s">
        <v>58</v>
      </c>
      <c r="R3" s="58" t="s">
        <v>87</v>
      </c>
    </row>
    <row r="4" spans="1:18" ht="19.5" customHeight="1">
      <c r="A4" s="79"/>
      <c r="B4" s="81"/>
      <c r="C4" s="90"/>
      <c r="D4" s="5" t="s">
        <v>62</v>
      </c>
      <c r="E4" s="5" t="s">
        <v>92</v>
      </c>
      <c r="F4" s="5" t="s">
        <v>93</v>
      </c>
      <c r="G4" s="5" t="s">
        <v>2</v>
      </c>
      <c r="H4" s="5" t="s">
        <v>3</v>
      </c>
      <c r="I4" s="5" t="s">
        <v>94</v>
      </c>
      <c r="J4" s="16" t="s">
        <v>95</v>
      </c>
      <c r="K4" s="17" t="s">
        <v>96</v>
      </c>
      <c r="L4" s="17"/>
      <c r="M4" s="12" t="s">
        <v>63</v>
      </c>
      <c r="N4" s="65"/>
      <c r="O4" s="68"/>
      <c r="P4" s="79"/>
      <c r="Q4" s="81"/>
      <c r="R4" s="59" t="s">
        <v>88</v>
      </c>
    </row>
    <row r="5" spans="1:18" ht="19.5" customHeight="1">
      <c r="A5" s="70" t="s">
        <v>85</v>
      </c>
      <c r="B5" s="82">
        <f>12+15+7+1+6+0+2</f>
        <v>43</v>
      </c>
      <c r="C5" s="74">
        <v>5</v>
      </c>
      <c r="D5" s="6">
        <v>0</v>
      </c>
      <c r="E5" s="6">
        <v>200</v>
      </c>
      <c r="F5" s="6">
        <v>0</v>
      </c>
      <c r="G5" s="6">
        <f>489+755+422+390+200</f>
        <v>2256</v>
      </c>
      <c r="H5" s="6">
        <v>0</v>
      </c>
      <c r="I5" s="6">
        <f>613+190</f>
        <v>803</v>
      </c>
      <c r="J5" s="6">
        <v>200</v>
      </c>
      <c r="K5" s="6">
        <v>20</v>
      </c>
      <c r="L5" s="6"/>
      <c r="M5" s="7">
        <f aca="true" t="shared" si="0" ref="M5:M20">SUM(D5:L5)</f>
        <v>3479</v>
      </c>
      <c r="N5" s="65"/>
      <c r="O5" s="68"/>
      <c r="P5" s="70" t="s">
        <v>85</v>
      </c>
      <c r="Q5" s="82">
        <f>B5+B26</f>
        <v>213</v>
      </c>
      <c r="R5" s="7">
        <f aca="true" t="shared" si="1" ref="R5:R20">M5+R26</f>
        <v>5732</v>
      </c>
    </row>
    <row r="6" spans="1:18" ht="19.5" customHeight="1">
      <c r="A6" s="71"/>
      <c r="B6" s="83"/>
      <c r="C6" s="84"/>
      <c r="D6" s="9">
        <v>0</v>
      </c>
      <c r="E6" s="9">
        <v>57</v>
      </c>
      <c r="F6" s="9">
        <v>0</v>
      </c>
      <c r="G6" s="9">
        <f>138+150+60+0+118</f>
        <v>466</v>
      </c>
      <c r="H6" s="9">
        <v>0</v>
      </c>
      <c r="I6" s="9">
        <v>403</v>
      </c>
      <c r="J6" s="9">
        <v>30</v>
      </c>
      <c r="K6" s="9">
        <v>0</v>
      </c>
      <c r="L6" s="9"/>
      <c r="M6" s="10">
        <f t="shared" si="0"/>
        <v>956</v>
      </c>
      <c r="N6" s="65"/>
      <c r="O6" s="68"/>
      <c r="P6" s="71"/>
      <c r="Q6" s="83"/>
      <c r="R6" s="10">
        <f t="shared" si="1"/>
        <v>1398</v>
      </c>
    </row>
    <row r="7" spans="1:18" ht="19.5" customHeight="1">
      <c r="A7" s="70" t="s">
        <v>98</v>
      </c>
      <c r="B7" s="82">
        <f>64+8+4</f>
        <v>76</v>
      </c>
      <c r="C7" s="74">
        <v>2</v>
      </c>
      <c r="D7" s="6">
        <v>250</v>
      </c>
      <c r="E7" s="6">
        <v>0</v>
      </c>
      <c r="F7" s="6">
        <v>0</v>
      </c>
      <c r="G7" s="6">
        <f>7514+530</f>
        <v>8044</v>
      </c>
      <c r="H7" s="6">
        <f>600+800</f>
        <v>1400</v>
      </c>
      <c r="I7" s="6">
        <f>928+160</f>
        <v>1088</v>
      </c>
      <c r="J7" s="6">
        <v>0</v>
      </c>
      <c r="K7" s="6">
        <v>590</v>
      </c>
      <c r="L7" s="6"/>
      <c r="M7" s="7">
        <f t="shared" si="0"/>
        <v>11372</v>
      </c>
      <c r="N7" s="65"/>
      <c r="O7" s="68"/>
      <c r="P7" s="70" t="s">
        <v>98</v>
      </c>
      <c r="Q7" s="82">
        <f>B7+B28</f>
        <v>319</v>
      </c>
      <c r="R7" s="7">
        <f t="shared" si="1"/>
        <v>15161</v>
      </c>
    </row>
    <row r="8" spans="1:18" ht="19.5" customHeight="1">
      <c r="A8" s="71"/>
      <c r="B8" s="83"/>
      <c r="C8" s="84"/>
      <c r="D8" s="9">
        <v>64</v>
      </c>
      <c r="E8" s="9">
        <v>0</v>
      </c>
      <c r="F8" s="9">
        <v>0</v>
      </c>
      <c r="G8" s="9">
        <f>2130+32</f>
        <v>2162</v>
      </c>
      <c r="H8" s="9">
        <f>111+218</f>
        <v>329</v>
      </c>
      <c r="I8" s="9">
        <f>261+3</f>
        <v>264</v>
      </c>
      <c r="J8" s="9">
        <v>0</v>
      </c>
      <c r="K8" s="9">
        <v>283</v>
      </c>
      <c r="L8" s="9"/>
      <c r="M8" s="10">
        <f t="shared" si="0"/>
        <v>3102</v>
      </c>
      <c r="N8" s="65"/>
      <c r="O8" s="68"/>
      <c r="P8" s="71"/>
      <c r="Q8" s="83"/>
      <c r="R8" s="10">
        <f t="shared" si="1"/>
        <v>3986</v>
      </c>
    </row>
    <row r="9" spans="1:18" ht="19.5" customHeight="1">
      <c r="A9" s="70" t="s">
        <v>64</v>
      </c>
      <c r="B9" s="82">
        <f>2+0+1+2+2+3</f>
        <v>10</v>
      </c>
      <c r="C9" s="74">
        <v>3</v>
      </c>
      <c r="D9" s="6">
        <v>0</v>
      </c>
      <c r="E9" s="6">
        <v>0</v>
      </c>
      <c r="F9" s="6">
        <v>0</v>
      </c>
      <c r="G9" s="6">
        <f>75+10</f>
        <v>85</v>
      </c>
      <c r="H9" s="6">
        <v>0</v>
      </c>
      <c r="I9" s="6">
        <v>0</v>
      </c>
      <c r="J9" s="6">
        <v>0</v>
      </c>
      <c r="K9" s="6">
        <f>100+30+60</f>
        <v>190</v>
      </c>
      <c r="L9" s="6"/>
      <c r="M9" s="7">
        <f t="shared" si="0"/>
        <v>275</v>
      </c>
      <c r="N9" s="65"/>
      <c r="O9" s="68"/>
      <c r="P9" s="70" t="s">
        <v>64</v>
      </c>
      <c r="Q9" s="82">
        <f>B9+B30</f>
        <v>32</v>
      </c>
      <c r="R9" s="7">
        <f t="shared" si="1"/>
        <v>355</v>
      </c>
    </row>
    <row r="10" spans="1:18" ht="19.5" customHeight="1">
      <c r="A10" s="71"/>
      <c r="B10" s="83"/>
      <c r="C10" s="84"/>
      <c r="D10" s="9">
        <v>0</v>
      </c>
      <c r="E10" s="9">
        <v>0</v>
      </c>
      <c r="F10" s="9">
        <v>0</v>
      </c>
      <c r="G10" s="9">
        <f>60+0</f>
        <v>60</v>
      </c>
      <c r="H10" s="9">
        <v>0</v>
      </c>
      <c r="I10" s="9">
        <v>0</v>
      </c>
      <c r="J10" s="9">
        <v>0</v>
      </c>
      <c r="K10" s="9">
        <f>35+1+5</f>
        <v>41</v>
      </c>
      <c r="L10" s="9"/>
      <c r="M10" s="10">
        <f t="shared" si="0"/>
        <v>101</v>
      </c>
      <c r="N10" s="65"/>
      <c r="O10" s="68"/>
      <c r="P10" s="71"/>
      <c r="Q10" s="83"/>
      <c r="R10" s="10">
        <f t="shared" si="1"/>
        <v>130</v>
      </c>
    </row>
    <row r="11" spans="1:18" ht="19.5" customHeight="1">
      <c r="A11" s="70" t="s">
        <v>65</v>
      </c>
      <c r="B11" s="82">
        <f>12+7+0+11</f>
        <v>30</v>
      </c>
      <c r="C11" s="74">
        <v>3</v>
      </c>
      <c r="D11" s="6">
        <v>0</v>
      </c>
      <c r="E11" s="6">
        <v>0</v>
      </c>
      <c r="F11" s="6">
        <v>0</v>
      </c>
      <c r="G11" s="6">
        <f>361+178+603</f>
        <v>1142</v>
      </c>
      <c r="H11" s="6">
        <v>0</v>
      </c>
      <c r="I11" s="6">
        <v>20</v>
      </c>
      <c r="J11" s="6">
        <v>0</v>
      </c>
      <c r="K11" s="6">
        <v>0</v>
      </c>
      <c r="L11" s="6"/>
      <c r="M11" s="7">
        <f t="shared" si="0"/>
        <v>1162</v>
      </c>
      <c r="N11" s="65"/>
      <c r="O11" s="68"/>
      <c r="P11" s="70" t="s">
        <v>65</v>
      </c>
      <c r="Q11" s="82">
        <f>B11+B32</f>
        <v>342</v>
      </c>
      <c r="R11" s="7">
        <f t="shared" si="1"/>
        <v>5052</v>
      </c>
    </row>
    <row r="12" spans="1:18" ht="19.5" customHeight="1">
      <c r="A12" s="71"/>
      <c r="B12" s="83"/>
      <c r="C12" s="84"/>
      <c r="D12" s="9">
        <v>0</v>
      </c>
      <c r="E12" s="9">
        <v>0</v>
      </c>
      <c r="F12" s="9">
        <v>0</v>
      </c>
      <c r="G12" s="9">
        <f>73+52+128</f>
        <v>253</v>
      </c>
      <c r="H12" s="9">
        <v>0</v>
      </c>
      <c r="I12" s="9">
        <v>4</v>
      </c>
      <c r="J12" s="9">
        <v>0</v>
      </c>
      <c r="K12" s="9">
        <v>0</v>
      </c>
      <c r="L12" s="9"/>
      <c r="M12" s="10">
        <f t="shared" si="0"/>
        <v>257</v>
      </c>
      <c r="N12" s="65"/>
      <c r="O12" s="68"/>
      <c r="P12" s="71"/>
      <c r="Q12" s="83"/>
      <c r="R12" s="10">
        <f t="shared" si="1"/>
        <v>1087</v>
      </c>
    </row>
    <row r="13" spans="1:18" s="50" customFormat="1" ht="19.5" customHeight="1">
      <c r="A13" s="70" t="s">
        <v>55</v>
      </c>
      <c r="B13" s="82">
        <f>2+3+0+0+0+0+2</f>
        <v>7</v>
      </c>
      <c r="C13" s="74">
        <v>3</v>
      </c>
      <c r="D13" s="6">
        <v>0</v>
      </c>
      <c r="E13" s="6">
        <v>50</v>
      </c>
      <c r="F13" s="6">
        <f>200+100</f>
        <v>300</v>
      </c>
      <c r="G13" s="6">
        <f>240+40+100</f>
        <v>380</v>
      </c>
      <c r="H13" s="6">
        <f>50+100</f>
        <v>150</v>
      </c>
      <c r="I13" s="6">
        <v>50</v>
      </c>
      <c r="J13" s="6">
        <f>100+100</f>
        <v>200</v>
      </c>
      <c r="K13" s="6">
        <v>0</v>
      </c>
      <c r="L13" s="6"/>
      <c r="M13" s="7">
        <f t="shared" si="0"/>
        <v>1130</v>
      </c>
      <c r="N13" s="66"/>
      <c r="O13" s="69"/>
      <c r="P13" s="70" t="s">
        <v>55</v>
      </c>
      <c r="Q13" s="82">
        <f>B13+B34</f>
        <v>247</v>
      </c>
      <c r="R13" s="7">
        <f t="shared" si="1"/>
        <v>4401</v>
      </c>
    </row>
    <row r="14" spans="1:18" s="50" customFormat="1" ht="19.5" customHeight="1">
      <c r="A14" s="71"/>
      <c r="B14" s="83"/>
      <c r="C14" s="84"/>
      <c r="D14" s="9">
        <v>0</v>
      </c>
      <c r="E14" s="9">
        <v>27</v>
      </c>
      <c r="F14" s="9">
        <f>162+15</f>
        <v>177</v>
      </c>
      <c r="G14" s="9">
        <f>25+112+10</f>
        <v>147</v>
      </c>
      <c r="H14" s="9">
        <f>34+50</f>
        <v>84</v>
      </c>
      <c r="I14" s="9">
        <v>14</v>
      </c>
      <c r="J14" s="9">
        <f>80+5</f>
        <v>85</v>
      </c>
      <c r="K14" s="9">
        <v>0</v>
      </c>
      <c r="L14" s="9"/>
      <c r="M14" s="10">
        <f t="shared" si="0"/>
        <v>534</v>
      </c>
      <c r="N14" s="66"/>
      <c r="O14" s="69"/>
      <c r="P14" s="71"/>
      <c r="Q14" s="83"/>
      <c r="R14" s="10">
        <f t="shared" si="1"/>
        <v>1467</v>
      </c>
    </row>
    <row r="15" spans="1:18" ht="19.5" customHeight="1">
      <c r="A15" s="70" t="s">
        <v>56</v>
      </c>
      <c r="B15" s="82">
        <f>3+3+0+8+2</f>
        <v>16</v>
      </c>
      <c r="C15" s="74">
        <v>4</v>
      </c>
      <c r="D15" s="6">
        <v>30</v>
      </c>
      <c r="E15" s="6">
        <v>0</v>
      </c>
      <c r="F15" s="6">
        <v>50</v>
      </c>
      <c r="G15" s="6">
        <f>70+87+0+140+220</f>
        <v>517</v>
      </c>
      <c r="H15" s="6">
        <v>100</v>
      </c>
      <c r="I15" s="6">
        <v>0</v>
      </c>
      <c r="J15" s="6">
        <v>0</v>
      </c>
      <c r="K15" s="6">
        <v>0</v>
      </c>
      <c r="L15" s="6"/>
      <c r="M15" s="7">
        <f t="shared" si="0"/>
        <v>697</v>
      </c>
      <c r="P15" s="70" t="s">
        <v>56</v>
      </c>
      <c r="Q15" s="82">
        <f>B15+B36</f>
        <v>206</v>
      </c>
      <c r="R15" s="7">
        <f t="shared" si="1"/>
        <v>2980</v>
      </c>
    </row>
    <row r="16" spans="1:18" ht="19.5" customHeight="1">
      <c r="A16" s="71"/>
      <c r="B16" s="83"/>
      <c r="C16" s="84"/>
      <c r="D16" s="9">
        <v>2</v>
      </c>
      <c r="E16" s="9">
        <v>0</v>
      </c>
      <c r="F16" s="9">
        <v>0</v>
      </c>
      <c r="G16" s="9">
        <f>19+8+0+32</f>
        <v>59</v>
      </c>
      <c r="H16" s="9">
        <v>0</v>
      </c>
      <c r="I16" s="9">
        <v>0</v>
      </c>
      <c r="J16" s="9">
        <v>0</v>
      </c>
      <c r="K16" s="9">
        <v>0</v>
      </c>
      <c r="L16" s="9"/>
      <c r="M16" s="10">
        <f t="shared" si="0"/>
        <v>61</v>
      </c>
      <c r="P16" s="71"/>
      <c r="Q16" s="83"/>
      <c r="R16" s="10">
        <f t="shared" si="1"/>
        <v>458</v>
      </c>
    </row>
    <row r="17" spans="1:18" ht="19.5" customHeight="1">
      <c r="A17" s="70" t="s">
        <v>66</v>
      </c>
      <c r="B17" s="82">
        <f>16+10+22+3+3+3+11+5+6+6</f>
        <v>85</v>
      </c>
      <c r="C17" s="74">
        <v>9</v>
      </c>
      <c r="D17" s="6">
        <f>200+10+300+150</f>
        <v>660</v>
      </c>
      <c r="E17" s="6">
        <v>100</v>
      </c>
      <c r="F17" s="6">
        <v>300</v>
      </c>
      <c r="G17" s="6">
        <f>4622+900+250+110+250+90+558+190+390</f>
        <v>7360</v>
      </c>
      <c r="H17" s="6">
        <f>200+3000+150</f>
        <v>3350</v>
      </c>
      <c r="I17" s="6">
        <f>250+490+200+300+150+200</f>
        <v>1590</v>
      </c>
      <c r="J17" s="6">
        <v>200</v>
      </c>
      <c r="K17" s="6">
        <v>180</v>
      </c>
      <c r="L17" s="6"/>
      <c r="M17" s="7">
        <f t="shared" si="0"/>
        <v>13740</v>
      </c>
      <c r="P17" s="70" t="s">
        <v>66</v>
      </c>
      <c r="Q17" s="82">
        <f>B17+B38</f>
        <v>161</v>
      </c>
      <c r="R17" s="7">
        <f t="shared" si="1"/>
        <v>15705</v>
      </c>
    </row>
    <row r="18" spans="1:18" ht="19.5" customHeight="1">
      <c r="A18" s="71"/>
      <c r="B18" s="83"/>
      <c r="C18" s="84"/>
      <c r="D18" s="9">
        <f>160+64+14</f>
        <v>238</v>
      </c>
      <c r="E18" s="9">
        <v>0</v>
      </c>
      <c r="F18" s="9">
        <v>87</v>
      </c>
      <c r="G18" s="9">
        <f>720+334+213+0+0+8+148+108+2</f>
        <v>1533</v>
      </c>
      <c r="H18" s="9">
        <f>50+970</f>
        <v>1020</v>
      </c>
      <c r="I18" s="9">
        <f>141+140+186+25</f>
        <v>492</v>
      </c>
      <c r="J18" s="9">
        <v>0</v>
      </c>
      <c r="K18" s="9">
        <v>0</v>
      </c>
      <c r="L18" s="9"/>
      <c r="M18" s="10">
        <f t="shared" si="0"/>
        <v>3370</v>
      </c>
      <c r="P18" s="71"/>
      <c r="Q18" s="83"/>
      <c r="R18" s="10">
        <f t="shared" si="1"/>
        <v>4798</v>
      </c>
    </row>
    <row r="19" spans="1:18" ht="19.5" customHeight="1">
      <c r="A19" s="70" t="s">
        <v>67</v>
      </c>
      <c r="B19" s="72">
        <f>SUM(B5:B18)</f>
        <v>267</v>
      </c>
      <c r="C19" s="72">
        <f>SUM(C5:C18)</f>
        <v>29</v>
      </c>
      <c r="D19" s="7">
        <f>D5+D7+D9+D11+D13+D15+D17</f>
        <v>940</v>
      </c>
      <c r="E19" s="7">
        <f aca="true" t="shared" si="2" ref="E19:K20">E5+E7+E9+E11+E13+E15+E17</f>
        <v>350</v>
      </c>
      <c r="F19" s="7">
        <f t="shared" si="2"/>
        <v>650</v>
      </c>
      <c r="G19" s="7">
        <f t="shared" si="2"/>
        <v>19784</v>
      </c>
      <c r="H19" s="7">
        <f t="shared" si="2"/>
        <v>5000</v>
      </c>
      <c r="I19" s="7">
        <f t="shared" si="2"/>
        <v>3551</v>
      </c>
      <c r="J19" s="7">
        <f t="shared" si="2"/>
        <v>600</v>
      </c>
      <c r="K19" s="7">
        <f t="shared" si="2"/>
        <v>980</v>
      </c>
      <c r="L19" s="7"/>
      <c r="M19" s="7">
        <f t="shared" si="0"/>
        <v>31855</v>
      </c>
      <c r="P19" s="70" t="s">
        <v>67</v>
      </c>
      <c r="Q19" s="72">
        <f>B19+B40</f>
        <v>1520</v>
      </c>
      <c r="R19" s="7">
        <f t="shared" si="1"/>
        <v>49386</v>
      </c>
    </row>
    <row r="20" spans="1:18" ht="19.5" customHeight="1">
      <c r="A20" s="71"/>
      <c r="B20" s="73"/>
      <c r="C20" s="73"/>
      <c r="D20" s="8">
        <f>D6+D8+D10+D12+D14+D16+D18</f>
        <v>304</v>
      </c>
      <c r="E20" s="8">
        <f t="shared" si="2"/>
        <v>84</v>
      </c>
      <c r="F20" s="8">
        <f t="shared" si="2"/>
        <v>264</v>
      </c>
      <c r="G20" s="8">
        <f t="shared" si="2"/>
        <v>4680</v>
      </c>
      <c r="H20" s="8">
        <f t="shared" si="2"/>
        <v>1433</v>
      </c>
      <c r="I20" s="8">
        <f t="shared" si="2"/>
        <v>1177</v>
      </c>
      <c r="J20" s="8">
        <f t="shared" si="2"/>
        <v>115</v>
      </c>
      <c r="K20" s="8">
        <f t="shared" si="2"/>
        <v>324</v>
      </c>
      <c r="L20" s="8"/>
      <c r="M20" s="8">
        <f t="shared" si="0"/>
        <v>8381</v>
      </c>
      <c r="P20" s="71"/>
      <c r="Q20" s="73"/>
      <c r="R20" s="8">
        <f t="shared" si="1"/>
        <v>13324</v>
      </c>
    </row>
    <row r="21" spans="1:17" ht="19.5" customHeight="1">
      <c r="A21" s="13"/>
      <c r="B21" s="14"/>
      <c r="C21" s="4"/>
      <c r="D21" s="15"/>
      <c r="E21" s="15"/>
      <c r="F21" s="34"/>
      <c r="G21" s="15"/>
      <c r="H21" s="15"/>
      <c r="I21" s="15"/>
      <c r="J21" s="34"/>
      <c r="K21" s="34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4"/>
      <c r="G22" s="15"/>
      <c r="H22" s="15"/>
      <c r="I22" s="15"/>
      <c r="J22" s="34"/>
      <c r="K22" s="34"/>
      <c r="L22" s="15"/>
      <c r="M22" s="15"/>
      <c r="N22" s="2"/>
      <c r="O22" s="2"/>
      <c r="P22" s="2"/>
      <c r="Q22" s="2"/>
    </row>
    <row r="23" spans="1:17" ht="19.5" customHeight="1">
      <c r="A23" s="11" t="s">
        <v>68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78" t="s">
        <v>99</v>
      </c>
      <c r="B24" s="80" t="s">
        <v>58</v>
      </c>
      <c r="C24" s="3" t="s">
        <v>59</v>
      </c>
      <c r="D24" s="85" t="s">
        <v>60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</row>
    <row r="25" spans="1:18" ht="19.5" customHeight="1">
      <c r="A25" s="79"/>
      <c r="B25" s="81"/>
      <c r="C25" s="5" t="s">
        <v>61</v>
      </c>
      <c r="D25" s="5" t="s">
        <v>69</v>
      </c>
      <c r="E25" s="5" t="s">
        <v>70</v>
      </c>
      <c r="F25" s="5" t="s">
        <v>71</v>
      </c>
      <c r="G25" s="5" t="s">
        <v>97</v>
      </c>
      <c r="H25" s="5" t="s">
        <v>72</v>
      </c>
      <c r="I25" s="5" t="s">
        <v>73</v>
      </c>
      <c r="J25" s="5" t="s">
        <v>74</v>
      </c>
      <c r="K25" s="5" t="s">
        <v>75</v>
      </c>
      <c r="L25" s="55" t="s">
        <v>51</v>
      </c>
      <c r="M25" s="55" t="s">
        <v>76</v>
      </c>
      <c r="N25" s="55" t="s">
        <v>77</v>
      </c>
      <c r="O25" s="5" t="s">
        <v>78</v>
      </c>
      <c r="P25" s="5" t="s">
        <v>82</v>
      </c>
      <c r="Q25" s="5" t="s">
        <v>105</v>
      </c>
      <c r="R25" s="12" t="s">
        <v>63</v>
      </c>
    </row>
    <row r="26" spans="1:18" ht="19.5" customHeight="1">
      <c r="A26" s="70" t="s">
        <v>85</v>
      </c>
      <c r="B26" s="72">
        <v>170</v>
      </c>
      <c r="C26" s="74">
        <v>5</v>
      </c>
      <c r="D26" s="6">
        <v>39</v>
      </c>
      <c r="E26" s="6">
        <v>15</v>
      </c>
      <c r="F26" s="6">
        <v>50</v>
      </c>
      <c r="G26" s="6">
        <v>0</v>
      </c>
      <c r="H26" s="76">
        <v>445</v>
      </c>
      <c r="I26" s="77"/>
      <c r="J26" s="6">
        <v>0</v>
      </c>
      <c r="K26" s="6">
        <v>0</v>
      </c>
      <c r="L26" s="6">
        <v>1145</v>
      </c>
      <c r="M26" s="6">
        <v>239</v>
      </c>
      <c r="N26" s="6">
        <v>300</v>
      </c>
      <c r="O26" s="6">
        <v>5</v>
      </c>
      <c r="P26" s="6">
        <v>0</v>
      </c>
      <c r="Q26" s="6">
        <v>15</v>
      </c>
      <c r="R26" s="7">
        <f aca="true" t="shared" si="3" ref="R26:R41">SUM(D26:Q26)</f>
        <v>2253</v>
      </c>
    </row>
    <row r="27" spans="1:18" ht="19.5" customHeight="1">
      <c r="A27" s="71"/>
      <c r="B27" s="73"/>
      <c r="C27" s="75"/>
      <c r="D27" s="9">
        <v>4</v>
      </c>
      <c r="E27" s="9">
        <v>0</v>
      </c>
      <c r="F27" s="9">
        <v>11</v>
      </c>
      <c r="G27" s="9">
        <v>0</v>
      </c>
      <c r="H27" s="9">
        <v>45</v>
      </c>
      <c r="I27" s="49">
        <v>54</v>
      </c>
      <c r="J27" s="9">
        <v>0</v>
      </c>
      <c r="K27" s="9">
        <v>0</v>
      </c>
      <c r="L27" s="9">
        <v>141</v>
      </c>
      <c r="M27" s="9">
        <v>30</v>
      </c>
      <c r="N27" s="9">
        <v>157</v>
      </c>
      <c r="O27" s="9">
        <v>0</v>
      </c>
      <c r="P27" s="9">
        <v>0</v>
      </c>
      <c r="Q27" s="9">
        <v>0</v>
      </c>
      <c r="R27" s="8">
        <f t="shared" si="3"/>
        <v>442</v>
      </c>
    </row>
    <row r="28" spans="1:18" ht="19.5" customHeight="1">
      <c r="A28" s="70" t="s">
        <v>98</v>
      </c>
      <c r="B28" s="72">
        <v>243</v>
      </c>
      <c r="C28" s="74">
        <v>2</v>
      </c>
      <c r="D28" s="6">
        <v>36</v>
      </c>
      <c r="E28" s="6">
        <v>140</v>
      </c>
      <c r="F28" s="6">
        <v>340</v>
      </c>
      <c r="G28" s="6">
        <v>11</v>
      </c>
      <c r="H28" s="76">
        <v>95</v>
      </c>
      <c r="I28" s="77"/>
      <c r="J28" s="6">
        <v>165</v>
      </c>
      <c r="K28" s="6">
        <v>80</v>
      </c>
      <c r="L28" s="6">
        <v>1312</v>
      </c>
      <c r="M28" s="6">
        <v>896</v>
      </c>
      <c r="N28" s="6">
        <v>81</v>
      </c>
      <c r="O28" s="6">
        <v>633</v>
      </c>
      <c r="P28" s="6">
        <v>0</v>
      </c>
      <c r="Q28" s="6">
        <v>0</v>
      </c>
      <c r="R28" s="7">
        <f t="shared" si="3"/>
        <v>3789</v>
      </c>
    </row>
    <row r="29" spans="1:18" ht="19.5" customHeight="1">
      <c r="A29" s="71"/>
      <c r="B29" s="73"/>
      <c r="C29" s="75"/>
      <c r="D29" s="9">
        <v>12</v>
      </c>
      <c r="E29" s="9">
        <v>0</v>
      </c>
      <c r="F29" s="9">
        <v>123</v>
      </c>
      <c r="G29" s="9">
        <v>0</v>
      </c>
      <c r="H29" s="9">
        <v>2</v>
      </c>
      <c r="I29" s="49">
        <v>1</v>
      </c>
      <c r="J29" s="9">
        <v>38</v>
      </c>
      <c r="K29" s="9">
        <v>8</v>
      </c>
      <c r="L29" s="9">
        <v>401</v>
      </c>
      <c r="M29" s="9">
        <v>226</v>
      </c>
      <c r="N29" s="9">
        <v>18</v>
      </c>
      <c r="O29" s="9">
        <v>55</v>
      </c>
      <c r="P29" s="9">
        <v>0</v>
      </c>
      <c r="Q29" s="9">
        <v>0</v>
      </c>
      <c r="R29" s="8">
        <f t="shared" si="3"/>
        <v>884</v>
      </c>
    </row>
    <row r="30" spans="1:18" s="50" customFormat="1" ht="19.5" customHeight="1">
      <c r="A30" s="70" t="s">
        <v>64</v>
      </c>
      <c r="B30" s="72">
        <v>22</v>
      </c>
      <c r="C30" s="74">
        <v>3</v>
      </c>
      <c r="D30" s="6">
        <v>3</v>
      </c>
      <c r="E30" s="6">
        <v>0</v>
      </c>
      <c r="F30" s="6">
        <v>9</v>
      </c>
      <c r="G30" s="6">
        <v>0</v>
      </c>
      <c r="H30" s="76">
        <v>2</v>
      </c>
      <c r="I30" s="77"/>
      <c r="J30" s="6">
        <v>20</v>
      </c>
      <c r="K30" s="6">
        <v>0</v>
      </c>
      <c r="L30" s="6">
        <v>37</v>
      </c>
      <c r="M30" s="6">
        <v>9</v>
      </c>
      <c r="N30" s="6">
        <v>0</v>
      </c>
      <c r="O30" s="6">
        <v>0</v>
      </c>
      <c r="P30" s="6">
        <v>0</v>
      </c>
      <c r="Q30" s="6">
        <v>0</v>
      </c>
      <c r="R30" s="7">
        <f t="shared" si="3"/>
        <v>80</v>
      </c>
    </row>
    <row r="31" spans="1:18" s="50" customFormat="1" ht="19.5" customHeight="1">
      <c r="A31" s="71"/>
      <c r="B31" s="73"/>
      <c r="C31" s="75"/>
      <c r="D31" s="9">
        <v>2</v>
      </c>
      <c r="E31" s="9">
        <v>0</v>
      </c>
      <c r="F31" s="9">
        <v>5</v>
      </c>
      <c r="G31" s="9">
        <v>0</v>
      </c>
      <c r="H31" s="9">
        <v>2</v>
      </c>
      <c r="I31" s="49">
        <v>0</v>
      </c>
      <c r="J31" s="9">
        <v>4</v>
      </c>
      <c r="K31" s="9">
        <v>0</v>
      </c>
      <c r="L31" s="9">
        <v>10</v>
      </c>
      <c r="M31" s="9">
        <v>6</v>
      </c>
      <c r="N31" s="9">
        <v>0</v>
      </c>
      <c r="O31" s="9">
        <v>0</v>
      </c>
      <c r="P31" s="9">
        <v>0</v>
      </c>
      <c r="Q31" s="9">
        <v>0</v>
      </c>
      <c r="R31" s="8">
        <f t="shared" si="3"/>
        <v>29</v>
      </c>
    </row>
    <row r="32" spans="1:18" ht="19.5" customHeight="1">
      <c r="A32" s="70" t="s">
        <v>65</v>
      </c>
      <c r="B32" s="72">
        <f>309+3</f>
        <v>312</v>
      </c>
      <c r="C32" s="74">
        <v>4</v>
      </c>
      <c r="D32" s="6">
        <v>0</v>
      </c>
      <c r="E32" s="6">
        <v>55</v>
      </c>
      <c r="F32" s="6">
        <v>575</v>
      </c>
      <c r="G32" s="6">
        <v>0</v>
      </c>
      <c r="H32" s="76">
        <v>720</v>
      </c>
      <c r="I32" s="77"/>
      <c r="J32" s="6">
        <v>61</v>
      </c>
      <c r="K32" s="6">
        <v>11</v>
      </c>
      <c r="L32" s="6">
        <v>1093</v>
      </c>
      <c r="M32" s="6">
        <v>1010</v>
      </c>
      <c r="N32" s="6">
        <v>0</v>
      </c>
      <c r="O32" s="6">
        <v>365</v>
      </c>
      <c r="P32" s="6">
        <v>0</v>
      </c>
      <c r="Q32" s="6">
        <v>0</v>
      </c>
      <c r="R32" s="7">
        <f t="shared" si="3"/>
        <v>3890</v>
      </c>
    </row>
    <row r="33" spans="1:18" ht="19.5" customHeight="1">
      <c r="A33" s="71"/>
      <c r="B33" s="73"/>
      <c r="C33" s="75"/>
      <c r="D33" s="9">
        <v>0</v>
      </c>
      <c r="E33" s="9">
        <v>1</v>
      </c>
      <c r="F33" s="9">
        <v>72</v>
      </c>
      <c r="G33" s="9">
        <v>0</v>
      </c>
      <c r="H33" s="9">
        <v>62</v>
      </c>
      <c r="I33" s="49">
        <v>52</v>
      </c>
      <c r="J33" s="9">
        <v>16</v>
      </c>
      <c r="K33" s="9">
        <v>10</v>
      </c>
      <c r="L33" s="9">
        <v>302</v>
      </c>
      <c r="M33" s="9">
        <v>311</v>
      </c>
      <c r="N33" s="9">
        <v>0</v>
      </c>
      <c r="O33" s="9">
        <v>4</v>
      </c>
      <c r="P33" s="9">
        <v>0</v>
      </c>
      <c r="Q33" s="9">
        <v>0</v>
      </c>
      <c r="R33" s="8">
        <f t="shared" si="3"/>
        <v>830</v>
      </c>
    </row>
    <row r="34" spans="1:18" s="50" customFormat="1" ht="19.5" customHeight="1">
      <c r="A34" s="70" t="s">
        <v>55</v>
      </c>
      <c r="B34" s="72">
        <f>221+18+1</f>
        <v>240</v>
      </c>
      <c r="C34" s="74">
        <v>7</v>
      </c>
      <c r="D34" s="6">
        <f>41+18</f>
        <v>59</v>
      </c>
      <c r="E34" s="6">
        <v>4</v>
      </c>
      <c r="F34" s="6">
        <v>71</v>
      </c>
      <c r="G34" s="6">
        <v>0</v>
      </c>
      <c r="H34" s="76">
        <v>25</v>
      </c>
      <c r="I34" s="77"/>
      <c r="J34" s="6">
        <v>889</v>
      </c>
      <c r="K34" s="6">
        <v>0</v>
      </c>
      <c r="L34" s="6">
        <v>2090</v>
      </c>
      <c r="M34" s="6">
        <v>61</v>
      </c>
      <c r="N34" s="6">
        <v>0</v>
      </c>
      <c r="O34" s="6">
        <v>60</v>
      </c>
      <c r="P34" s="6">
        <v>9</v>
      </c>
      <c r="Q34" s="6">
        <v>3</v>
      </c>
      <c r="R34" s="7">
        <f t="shared" si="3"/>
        <v>3271</v>
      </c>
    </row>
    <row r="35" spans="1:18" s="50" customFormat="1" ht="19.5" customHeight="1">
      <c r="A35" s="71"/>
      <c r="B35" s="73"/>
      <c r="C35" s="75"/>
      <c r="D35" s="9">
        <f>19+12</f>
        <v>31</v>
      </c>
      <c r="E35" s="9">
        <v>4</v>
      </c>
      <c r="F35" s="9">
        <v>36</v>
      </c>
      <c r="G35" s="9">
        <v>0</v>
      </c>
      <c r="H35" s="9">
        <v>9</v>
      </c>
      <c r="I35" s="49">
        <v>2</v>
      </c>
      <c r="J35" s="9">
        <v>146</v>
      </c>
      <c r="K35" s="9">
        <v>0</v>
      </c>
      <c r="L35" s="9">
        <v>657</v>
      </c>
      <c r="M35" s="9">
        <v>31</v>
      </c>
      <c r="N35" s="9">
        <v>0</v>
      </c>
      <c r="O35" s="9">
        <v>6</v>
      </c>
      <c r="P35" s="9">
        <v>8</v>
      </c>
      <c r="Q35" s="9">
        <v>3</v>
      </c>
      <c r="R35" s="8">
        <f t="shared" si="3"/>
        <v>933</v>
      </c>
    </row>
    <row r="36" spans="1:18" ht="19.5" customHeight="1">
      <c r="A36" s="70" t="s">
        <v>56</v>
      </c>
      <c r="B36" s="72">
        <f>136+53+1</f>
        <v>190</v>
      </c>
      <c r="C36" s="74">
        <v>5</v>
      </c>
      <c r="D36" s="6">
        <f>10+64</f>
        <v>74</v>
      </c>
      <c r="E36" s="6">
        <v>0</v>
      </c>
      <c r="F36" s="6">
        <v>0</v>
      </c>
      <c r="G36" s="6">
        <v>0</v>
      </c>
      <c r="H36" s="76">
        <v>339</v>
      </c>
      <c r="I36" s="88"/>
      <c r="J36" s="6">
        <v>387</v>
      </c>
      <c r="K36" s="6">
        <v>0</v>
      </c>
      <c r="L36" s="6">
        <v>1160</v>
      </c>
      <c r="M36" s="6">
        <v>316</v>
      </c>
      <c r="N36" s="6">
        <v>0</v>
      </c>
      <c r="O36" s="6">
        <v>0</v>
      </c>
      <c r="P36" s="6">
        <v>7</v>
      </c>
      <c r="Q36" s="6">
        <v>0</v>
      </c>
      <c r="R36" s="7">
        <f t="shared" si="3"/>
        <v>2283</v>
      </c>
    </row>
    <row r="37" spans="1:18" ht="19.5" customHeight="1">
      <c r="A37" s="71"/>
      <c r="B37" s="73"/>
      <c r="C37" s="75"/>
      <c r="D37" s="9">
        <f>31+1</f>
        <v>32</v>
      </c>
      <c r="E37" s="9">
        <v>0</v>
      </c>
      <c r="F37" s="9">
        <v>0</v>
      </c>
      <c r="G37" s="9">
        <v>0</v>
      </c>
      <c r="H37" s="9">
        <v>18</v>
      </c>
      <c r="I37" s="49">
        <v>47</v>
      </c>
      <c r="J37" s="9">
        <v>103</v>
      </c>
      <c r="K37" s="9">
        <v>0</v>
      </c>
      <c r="L37" s="9">
        <v>140</v>
      </c>
      <c r="M37" s="9">
        <v>50</v>
      </c>
      <c r="N37" s="9">
        <v>0</v>
      </c>
      <c r="O37" s="9">
        <v>0</v>
      </c>
      <c r="P37" s="9">
        <v>7</v>
      </c>
      <c r="Q37" s="9">
        <v>0</v>
      </c>
      <c r="R37" s="8">
        <f t="shared" si="3"/>
        <v>397</v>
      </c>
    </row>
    <row r="38" spans="1:18" ht="19.5" customHeight="1">
      <c r="A38" s="70" t="s">
        <v>66</v>
      </c>
      <c r="B38" s="72">
        <f>71+5</f>
        <v>76</v>
      </c>
      <c r="C38" s="74">
        <v>4</v>
      </c>
      <c r="D38" s="6">
        <v>2</v>
      </c>
      <c r="E38" s="6">
        <v>8</v>
      </c>
      <c r="F38" s="6">
        <v>33</v>
      </c>
      <c r="G38" s="6">
        <v>0</v>
      </c>
      <c r="H38" s="76">
        <v>296</v>
      </c>
      <c r="I38" s="77"/>
      <c r="J38" s="6">
        <v>285</v>
      </c>
      <c r="K38" s="6">
        <v>6</v>
      </c>
      <c r="L38" s="6">
        <v>1193</v>
      </c>
      <c r="M38" s="6">
        <v>42</v>
      </c>
      <c r="N38" s="6">
        <v>100</v>
      </c>
      <c r="O38" s="6">
        <v>0</v>
      </c>
      <c r="P38" s="6">
        <v>0</v>
      </c>
      <c r="Q38" s="6">
        <v>0</v>
      </c>
      <c r="R38" s="7">
        <f t="shared" si="3"/>
        <v>1965</v>
      </c>
    </row>
    <row r="39" spans="1:18" ht="19.5" customHeight="1">
      <c r="A39" s="71"/>
      <c r="B39" s="73"/>
      <c r="C39" s="75"/>
      <c r="D39" s="9">
        <v>2</v>
      </c>
      <c r="E39" s="9">
        <v>3</v>
      </c>
      <c r="F39" s="9">
        <v>22</v>
      </c>
      <c r="G39" s="9">
        <v>0</v>
      </c>
      <c r="H39" s="9">
        <v>92</v>
      </c>
      <c r="I39" s="49">
        <v>91</v>
      </c>
      <c r="J39" s="9">
        <v>55</v>
      </c>
      <c r="K39" s="9">
        <v>3</v>
      </c>
      <c r="L39" s="9">
        <v>1077</v>
      </c>
      <c r="M39" s="9">
        <v>19</v>
      </c>
      <c r="N39" s="9">
        <v>64</v>
      </c>
      <c r="O39" s="9">
        <v>0</v>
      </c>
      <c r="P39" s="9">
        <v>0</v>
      </c>
      <c r="Q39" s="9">
        <v>0</v>
      </c>
      <c r="R39" s="8">
        <f t="shared" si="3"/>
        <v>1428</v>
      </c>
    </row>
    <row r="40" spans="1:18" ht="19.5" customHeight="1">
      <c r="A40" s="70" t="s">
        <v>79</v>
      </c>
      <c r="B40" s="72">
        <f>SUM(B26:B39)</f>
        <v>1253</v>
      </c>
      <c r="C40" s="72">
        <f>SUM(C26:C39)</f>
        <v>30</v>
      </c>
      <c r="D40" s="7">
        <f>D26+D28+D30+D32+D34+D36+D38</f>
        <v>213</v>
      </c>
      <c r="E40" s="7">
        <f>E26+E28+E30+E32+E34+E36+E38</f>
        <v>222</v>
      </c>
      <c r="F40" s="7">
        <f>F26+F28+F30+F32+F34+F36+F38</f>
        <v>1078</v>
      </c>
      <c r="G40" s="7">
        <f>G26+G28+G30+G32+G34+G36+G38</f>
        <v>11</v>
      </c>
      <c r="H40" s="76">
        <f>H26+H28+H30+H32+H34+H36+H38</f>
        <v>1922</v>
      </c>
      <c r="I40" s="77"/>
      <c r="J40" s="7">
        <f aca="true" t="shared" si="4" ref="E40:J41">J26+J28+J30+J32+J34+J36+J38</f>
        <v>1807</v>
      </c>
      <c r="K40" s="7">
        <f aca="true" t="shared" si="5" ref="K40:Q40">K26+K28+K30+K32+K34+K36+K38</f>
        <v>97</v>
      </c>
      <c r="L40" s="7">
        <f t="shared" si="5"/>
        <v>8030</v>
      </c>
      <c r="M40" s="7">
        <f t="shared" si="5"/>
        <v>2573</v>
      </c>
      <c r="N40" s="7">
        <f t="shared" si="5"/>
        <v>481</v>
      </c>
      <c r="O40" s="7">
        <f>O26+O28+O30+O32+O34+O36+O38</f>
        <v>1063</v>
      </c>
      <c r="P40" s="7">
        <f t="shared" si="5"/>
        <v>16</v>
      </c>
      <c r="Q40" s="7">
        <f t="shared" si="5"/>
        <v>18</v>
      </c>
      <c r="R40" s="7">
        <f t="shared" si="3"/>
        <v>17531</v>
      </c>
    </row>
    <row r="41" spans="1:18" ht="19.5" customHeight="1">
      <c r="A41" s="71"/>
      <c r="B41" s="73"/>
      <c r="C41" s="73"/>
      <c r="D41" s="8">
        <f>D27+D29+D31+D33+D35+D37+D39</f>
        <v>83</v>
      </c>
      <c r="E41" s="8">
        <f t="shared" si="4"/>
        <v>8</v>
      </c>
      <c r="F41" s="8">
        <f t="shared" si="4"/>
        <v>269</v>
      </c>
      <c r="G41" s="8">
        <f t="shared" si="4"/>
        <v>0</v>
      </c>
      <c r="H41" s="8">
        <f t="shared" si="4"/>
        <v>230</v>
      </c>
      <c r="I41" s="8">
        <f t="shared" si="4"/>
        <v>247</v>
      </c>
      <c r="J41" s="8">
        <f t="shared" si="4"/>
        <v>362</v>
      </c>
      <c r="K41" s="8">
        <f aca="true" t="shared" si="6" ref="K41:Q41">K27+K29+K31+K33+K35+K37+K39</f>
        <v>21</v>
      </c>
      <c r="L41" s="8">
        <f t="shared" si="6"/>
        <v>2728</v>
      </c>
      <c r="M41" s="8">
        <f t="shared" si="6"/>
        <v>673</v>
      </c>
      <c r="N41" s="8">
        <f t="shared" si="6"/>
        <v>239</v>
      </c>
      <c r="O41" s="8">
        <f>O27+O29+O31+O33+O35+O37+O39</f>
        <v>65</v>
      </c>
      <c r="P41" s="8">
        <f t="shared" si="6"/>
        <v>15</v>
      </c>
      <c r="Q41" s="8">
        <f t="shared" si="6"/>
        <v>3</v>
      </c>
      <c r="R41" s="8">
        <f t="shared" si="3"/>
        <v>4943</v>
      </c>
    </row>
  </sheetData>
  <sheetProtection/>
  <mergeCells count="81">
    <mergeCell ref="C3:C4"/>
    <mergeCell ref="P17:P18"/>
    <mergeCell ref="Q17:Q18"/>
    <mergeCell ref="P19:P20"/>
    <mergeCell ref="Q19:Q20"/>
    <mergeCell ref="P13:P14"/>
    <mergeCell ref="P15:P16"/>
    <mergeCell ref="Q15:Q16"/>
    <mergeCell ref="P9:P10"/>
    <mergeCell ref="Q9:Q10"/>
    <mergeCell ref="P11:P12"/>
    <mergeCell ref="Q11:Q12"/>
    <mergeCell ref="P5:P6"/>
    <mergeCell ref="Q5:Q6"/>
    <mergeCell ref="Q7:Q8"/>
    <mergeCell ref="Q13:Q14"/>
    <mergeCell ref="P3:P4"/>
    <mergeCell ref="Q3:Q4"/>
    <mergeCell ref="D3:M3"/>
    <mergeCell ref="H40:I40"/>
    <mergeCell ref="H30:I30"/>
    <mergeCell ref="H38:I38"/>
    <mergeCell ref="H36:I36"/>
    <mergeCell ref="H32:I32"/>
    <mergeCell ref="D24:R24"/>
    <mergeCell ref="P7:P8"/>
    <mergeCell ref="C5:C6"/>
    <mergeCell ref="H26:I26"/>
    <mergeCell ref="H28:I28"/>
    <mergeCell ref="A3:A4"/>
    <mergeCell ref="B3:B4"/>
    <mergeCell ref="A7:A8"/>
    <mergeCell ref="B7:B8"/>
    <mergeCell ref="C7:C8"/>
    <mergeCell ref="A5:A6"/>
    <mergeCell ref="B5:B6"/>
    <mergeCell ref="A9:A10"/>
    <mergeCell ref="B9:B10"/>
    <mergeCell ref="C9:C10"/>
    <mergeCell ref="B11:B12"/>
    <mergeCell ref="C11:C12"/>
    <mergeCell ref="A11:A12"/>
    <mergeCell ref="A13:A14"/>
    <mergeCell ref="B13:B14"/>
    <mergeCell ref="C13:C14"/>
    <mergeCell ref="A15:A16"/>
    <mergeCell ref="B15:B16"/>
    <mergeCell ref="C15:C16"/>
    <mergeCell ref="B26:B27"/>
    <mergeCell ref="A19:A20"/>
    <mergeCell ref="B19:B20"/>
    <mergeCell ref="C19:C20"/>
    <mergeCell ref="A17:A18"/>
    <mergeCell ref="B17:B18"/>
    <mergeCell ref="C17:C18"/>
    <mergeCell ref="C28:C29"/>
    <mergeCell ref="A32:A33"/>
    <mergeCell ref="B32:B33"/>
    <mergeCell ref="C32:C33"/>
    <mergeCell ref="C26:C27"/>
    <mergeCell ref="A24:A25"/>
    <mergeCell ref="B24:B25"/>
    <mergeCell ref="A28:A29"/>
    <mergeCell ref="B28:B29"/>
    <mergeCell ref="A26:A27"/>
    <mergeCell ref="C36:C37"/>
    <mergeCell ref="B38:B39"/>
    <mergeCell ref="C38:C39"/>
    <mergeCell ref="A30:A31"/>
    <mergeCell ref="B30:B31"/>
    <mergeCell ref="C30:C31"/>
    <mergeCell ref="A34:A35"/>
    <mergeCell ref="B34:B35"/>
    <mergeCell ref="C34:C35"/>
    <mergeCell ref="H34:I34"/>
    <mergeCell ref="A40:A41"/>
    <mergeCell ref="B40:B41"/>
    <mergeCell ref="C40:C41"/>
    <mergeCell ref="A38:A39"/>
    <mergeCell ref="A36:A37"/>
    <mergeCell ref="B36:B37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3" width="9.125" style="0" customWidth="1"/>
  </cols>
  <sheetData>
    <row r="1" ht="24" customHeight="1">
      <c r="A1" s="18" t="s">
        <v>91</v>
      </c>
    </row>
    <row r="2" ht="24" customHeight="1">
      <c r="A2" s="19" t="s">
        <v>0</v>
      </c>
    </row>
    <row r="3" spans="1:23" ht="24" customHeight="1">
      <c r="A3" s="93" t="s">
        <v>1</v>
      </c>
      <c r="B3" s="91" t="s">
        <v>43</v>
      </c>
      <c r="C3" s="92"/>
      <c r="D3" s="91" t="s">
        <v>44</v>
      </c>
      <c r="E3" s="92"/>
      <c r="F3" s="91" t="s">
        <v>45</v>
      </c>
      <c r="G3" s="92"/>
      <c r="H3" s="91" t="s">
        <v>2</v>
      </c>
      <c r="I3" s="92"/>
      <c r="J3" s="91" t="s">
        <v>3</v>
      </c>
      <c r="K3" s="92"/>
      <c r="L3" s="91" t="s">
        <v>46</v>
      </c>
      <c r="M3" s="92"/>
      <c r="N3" s="91" t="s">
        <v>47</v>
      </c>
      <c r="O3" s="92"/>
      <c r="P3" s="91" t="s">
        <v>48</v>
      </c>
      <c r="Q3" s="92"/>
      <c r="R3" s="91" t="s">
        <v>49</v>
      </c>
      <c r="S3" s="92"/>
      <c r="T3" s="91" t="s">
        <v>4</v>
      </c>
      <c r="U3" s="92"/>
      <c r="V3" s="47" t="s">
        <v>5</v>
      </c>
      <c r="W3" s="21"/>
    </row>
    <row r="4" spans="1:23" ht="24" customHeight="1">
      <c r="A4" s="94"/>
      <c r="B4" s="35"/>
      <c r="C4" s="36" t="s">
        <v>6</v>
      </c>
      <c r="D4" s="35"/>
      <c r="E4" s="36" t="s">
        <v>6</v>
      </c>
      <c r="F4" s="35"/>
      <c r="G4" s="36" t="s">
        <v>6</v>
      </c>
      <c r="H4" s="35"/>
      <c r="I4" s="36" t="s">
        <v>6</v>
      </c>
      <c r="J4" s="35"/>
      <c r="K4" s="36" t="s">
        <v>6</v>
      </c>
      <c r="L4" s="35"/>
      <c r="M4" s="36" t="s">
        <v>6</v>
      </c>
      <c r="N4" s="35"/>
      <c r="O4" s="36" t="s">
        <v>6</v>
      </c>
      <c r="P4" s="35"/>
      <c r="Q4" s="36" t="s">
        <v>6</v>
      </c>
      <c r="R4" s="24"/>
      <c r="S4" s="25" t="s">
        <v>6</v>
      </c>
      <c r="T4" s="35"/>
      <c r="U4" s="36" t="s">
        <v>7</v>
      </c>
      <c r="V4" s="26"/>
      <c r="W4" s="25" t="s">
        <v>6</v>
      </c>
    </row>
    <row r="5" spans="1:23" ht="24" customHeight="1">
      <c r="A5" s="27" t="s">
        <v>8</v>
      </c>
      <c r="B5" s="39">
        <v>1610</v>
      </c>
      <c r="C5" s="40">
        <f aca="true" t="shared" si="0" ref="C5:C21">IF(B4=0,"",B5/B4)</f>
      </c>
      <c r="D5" s="39">
        <v>0</v>
      </c>
      <c r="E5" s="40">
        <f aca="true" t="shared" si="1" ref="E5:E21">IF(D4=0,"",D5/D4)</f>
      </c>
      <c r="F5" s="39">
        <v>2937</v>
      </c>
      <c r="G5" s="40">
        <f aca="true" t="shared" si="2" ref="G5:G21">IF(F4=0,"",F5/F4)</f>
      </c>
      <c r="H5" s="39">
        <v>23657</v>
      </c>
      <c r="I5" s="40">
        <f aca="true" t="shared" si="3" ref="I5:I21">IF(H4=0,"",H5/H4)</f>
      </c>
      <c r="J5" s="39">
        <v>29424</v>
      </c>
      <c r="K5" s="40">
        <f aca="true" t="shared" si="4" ref="K5:M21">IF(J4=0,"",J5/J4)</f>
      </c>
      <c r="L5" s="39">
        <v>0</v>
      </c>
      <c r="M5" s="40">
        <f t="shared" si="4"/>
      </c>
      <c r="N5" s="39">
        <v>410</v>
      </c>
      <c r="O5" s="40">
        <f aca="true" t="shared" si="5" ref="O5:O21">IF(N4=0,"",N5/N4)</f>
      </c>
      <c r="P5" s="39">
        <v>50</v>
      </c>
      <c r="Q5" s="40">
        <f aca="true" t="shared" si="6" ref="Q5:Q21">IF(P4=0,"",P5/P4)</f>
      </c>
      <c r="R5" s="52">
        <v>0</v>
      </c>
      <c r="S5" s="29">
        <f aca="true" t="shared" si="7" ref="S5:S21">IF(R4=0,"",R5/R4)</f>
      </c>
      <c r="T5" s="39">
        <v>0</v>
      </c>
      <c r="U5" s="40">
        <f aca="true" t="shared" si="8" ref="U5:U21">IF(T4=0,"",T5/T4)</f>
      </c>
      <c r="V5" s="31">
        <v>58088</v>
      </c>
      <c r="W5" s="30">
        <f aca="true" t="shared" si="9" ref="W5:W21">IF(V4=0,"",V5/V4)</f>
      </c>
    </row>
    <row r="6" spans="1:23" ht="24" customHeight="1">
      <c r="A6" s="27" t="s">
        <v>9</v>
      </c>
      <c r="B6" s="39">
        <v>1507</v>
      </c>
      <c r="C6" s="44">
        <f t="shared" si="0"/>
        <v>0.9360248447204969</v>
      </c>
      <c r="D6" s="39">
        <v>0</v>
      </c>
      <c r="E6" s="44">
        <f t="shared" si="1"/>
      </c>
      <c r="F6" s="39">
        <v>735</v>
      </c>
      <c r="G6" s="44">
        <f t="shared" si="2"/>
        <v>0.25025536261491316</v>
      </c>
      <c r="H6" s="39">
        <v>5579</v>
      </c>
      <c r="I6" s="44">
        <f t="shared" si="3"/>
        <v>0.23582871877245634</v>
      </c>
      <c r="J6" s="39">
        <v>10269</v>
      </c>
      <c r="K6" s="44">
        <f t="shared" si="4"/>
        <v>0.34900081566068514</v>
      </c>
      <c r="L6" s="39">
        <v>5673</v>
      </c>
      <c r="M6" s="44">
        <f t="shared" si="4"/>
      </c>
      <c r="N6" s="39">
        <v>0</v>
      </c>
      <c r="O6" s="44">
        <f t="shared" si="5"/>
        <v>0</v>
      </c>
      <c r="P6" s="39">
        <v>8</v>
      </c>
      <c r="Q6" s="44">
        <f t="shared" si="6"/>
        <v>0.16</v>
      </c>
      <c r="R6" s="52">
        <v>0</v>
      </c>
      <c r="S6" s="29">
        <f t="shared" si="7"/>
      </c>
      <c r="T6" s="39">
        <v>0</v>
      </c>
      <c r="U6" s="44">
        <f t="shared" si="8"/>
      </c>
      <c r="V6" s="31">
        <v>23771</v>
      </c>
      <c r="W6" s="33">
        <f t="shared" si="9"/>
        <v>0.40922393609695634</v>
      </c>
    </row>
    <row r="7" spans="1:23" ht="24" customHeight="1">
      <c r="A7" s="27" t="s">
        <v>10</v>
      </c>
      <c r="B7" s="39">
        <v>581</v>
      </c>
      <c r="C7" s="44">
        <f t="shared" si="0"/>
        <v>0.3855341738553417</v>
      </c>
      <c r="D7" s="39">
        <v>5</v>
      </c>
      <c r="E7" s="44">
        <f t="shared" si="1"/>
      </c>
      <c r="F7" s="39">
        <v>873</v>
      </c>
      <c r="G7" s="44">
        <f t="shared" si="2"/>
        <v>1.1877551020408164</v>
      </c>
      <c r="H7" s="39">
        <v>4944</v>
      </c>
      <c r="I7" s="44">
        <f t="shared" si="3"/>
        <v>0.8861803190535938</v>
      </c>
      <c r="J7" s="39">
        <v>8462</v>
      </c>
      <c r="K7" s="44">
        <f t="shared" si="4"/>
        <v>0.8240334988801247</v>
      </c>
      <c r="L7" s="39">
        <v>5323</v>
      </c>
      <c r="M7" s="44">
        <f t="shared" si="4"/>
        <v>0.9383042481931958</v>
      </c>
      <c r="N7" s="39">
        <v>54</v>
      </c>
      <c r="O7" s="44">
        <f t="shared" si="5"/>
      </c>
      <c r="P7" s="39">
        <v>0</v>
      </c>
      <c r="Q7" s="44">
        <f t="shared" si="6"/>
        <v>0</v>
      </c>
      <c r="R7" s="52">
        <v>0</v>
      </c>
      <c r="S7" s="29">
        <f t="shared" si="7"/>
      </c>
      <c r="T7" s="39">
        <v>0</v>
      </c>
      <c r="U7" s="44">
        <f t="shared" si="8"/>
      </c>
      <c r="V7" s="31">
        <v>20242</v>
      </c>
      <c r="W7" s="33">
        <f t="shared" si="9"/>
        <v>0.8515417946237012</v>
      </c>
    </row>
    <row r="8" spans="1:23" ht="24" customHeight="1">
      <c r="A8" s="27" t="s">
        <v>11</v>
      </c>
      <c r="B8" s="39">
        <v>668</v>
      </c>
      <c r="C8" s="44">
        <f t="shared" si="0"/>
        <v>1.1497418244406197</v>
      </c>
      <c r="D8" s="39">
        <v>309</v>
      </c>
      <c r="E8" s="45">
        <f t="shared" si="1"/>
        <v>61.8</v>
      </c>
      <c r="F8" s="39">
        <v>921</v>
      </c>
      <c r="G8" s="44">
        <f t="shared" si="2"/>
        <v>1.0549828178694158</v>
      </c>
      <c r="H8" s="39">
        <v>4881</v>
      </c>
      <c r="I8" s="44">
        <f t="shared" si="3"/>
        <v>0.9872572815533981</v>
      </c>
      <c r="J8" s="39">
        <v>7010</v>
      </c>
      <c r="K8" s="44">
        <f t="shared" si="4"/>
        <v>0.8284093594894824</v>
      </c>
      <c r="L8" s="39">
        <v>3863</v>
      </c>
      <c r="M8" s="44">
        <f t="shared" si="4"/>
        <v>0.7257185797482623</v>
      </c>
      <c r="N8" s="39">
        <v>50</v>
      </c>
      <c r="O8" s="44">
        <f t="shared" si="5"/>
        <v>0.9259259259259259</v>
      </c>
      <c r="P8" s="39">
        <v>0</v>
      </c>
      <c r="Q8" s="44">
        <f t="shared" si="6"/>
      </c>
      <c r="R8" s="28">
        <v>1</v>
      </c>
      <c r="S8" s="29">
        <f t="shared" si="7"/>
      </c>
      <c r="T8" s="39">
        <v>0</v>
      </c>
      <c r="U8" s="44">
        <f t="shared" si="8"/>
      </c>
      <c r="V8" s="31">
        <v>17703</v>
      </c>
      <c r="W8" s="33">
        <f t="shared" si="9"/>
        <v>0.8745677304614169</v>
      </c>
    </row>
    <row r="9" spans="1:23" ht="24" customHeight="1">
      <c r="A9" s="27" t="s">
        <v>12</v>
      </c>
      <c r="B9" s="39">
        <v>792</v>
      </c>
      <c r="C9" s="44">
        <f t="shared" si="0"/>
        <v>1.18562874251497</v>
      </c>
      <c r="D9" s="39">
        <v>556</v>
      </c>
      <c r="E9" s="44">
        <f t="shared" si="1"/>
        <v>1.7993527508090614</v>
      </c>
      <c r="F9" s="39">
        <v>891</v>
      </c>
      <c r="G9" s="44">
        <f t="shared" si="2"/>
        <v>0.9674267100977199</v>
      </c>
      <c r="H9" s="39">
        <v>5439</v>
      </c>
      <c r="I9" s="44">
        <f t="shared" si="3"/>
        <v>1.114320835894284</v>
      </c>
      <c r="J9" s="39">
        <v>6766</v>
      </c>
      <c r="K9" s="44">
        <f t="shared" si="4"/>
        <v>0.9651925820256776</v>
      </c>
      <c r="L9" s="39">
        <v>5613</v>
      </c>
      <c r="M9" s="44">
        <f t="shared" si="4"/>
        <v>1.4530157908361376</v>
      </c>
      <c r="N9" s="39">
        <v>157</v>
      </c>
      <c r="O9" s="44">
        <f t="shared" si="5"/>
        <v>3.14</v>
      </c>
      <c r="P9" s="39">
        <v>0</v>
      </c>
      <c r="Q9" s="44">
        <f t="shared" si="6"/>
      </c>
      <c r="R9" s="52">
        <v>0</v>
      </c>
      <c r="S9" s="29">
        <f t="shared" si="7"/>
        <v>0</v>
      </c>
      <c r="T9" s="39">
        <v>0</v>
      </c>
      <c r="U9" s="44">
        <f t="shared" si="8"/>
      </c>
      <c r="V9" s="31">
        <v>20214</v>
      </c>
      <c r="W9" s="33">
        <f t="shared" si="9"/>
        <v>1.1418403660396543</v>
      </c>
    </row>
    <row r="10" spans="1:23" ht="24" customHeight="1">
      <c r="A10" s="27" t="s">
        <v>13</v>
      </c>
      <c r="B10" s="39">
        <v>1040</v>
      </c>
      <c r="C10" s="44">
        <f t="shared" si="0"/>
        <v>1.3131313131313131</v>
      </c>
      <c r="D10" s="39">
        <v>821</v>
      </c>
      <c r="E10" s="44">
        <f t="shared" si="1"/>
        <v>1.4766187050359711</v>
      </c>
      <c r="F10" s="39">
        <v>976</v>
      </c>
      <c r="G10" s="44">
        <f t="shared" si="2"/>
        <v>1.095398428731762</v>
      </c>
      <c r="H10" s="39">
        <v>6148</v>
      </c>
      <c r="I10" s="44">
        <f t="shared" si="3"/>
        <v>1.130354844640559</v>
      </c>
      <c r="J10" s="39">
        <v>9455</v>
      </c>
      <c r="K10" s="44">
        <f t="shared" si="4"/>
        <v>1.3974283180608926</v>
      </c>
      <c r="L10" s="39">
        <v>4687</v>
      </c>
      <c r="M10" s="44">
        <f t="shared" si="4"/>
        <v>0.8350258328879387</v>
      </c>
      <c r="N10" s="39">
        <v>119</v>
      </c>
      <c r="O10" s="44">
        <f t="shared" si="5"/>
        <v>0.7579617834394905</v>
      </c>
      <c r="P10" s="39">
        <v>0</v>
      </c>
      <c r="Q10" s="44">
        <f t="shared" si="6"/>
      </c>
      <c r="R10" s="52">
        <v>0</v>
      </c>
      <c r="S10" s="29">
        <f t="shared" si="7"/>
      </c>
      <c r="T10" s="39">
        <v>0</v>
      </c>
      <c r="U10" s="44">
        <f t="shared" si="8"/>
      </c>
      <c r="V10" s="31">
        <v>23246</v>
      </c>
      <c r="W10" s="33">
        <f t="shared" si="9"/>
        <v>1.1499950529336103</v>
      </c>
    </row>
    <row r="11" spans="1:23" ht="24" customHeight="1">
      <c r="A11" s="27" t="s">
        <v>14</v>
      </c>
      <c r="B11" s="39">
        <v>1050</v>
      </c>
      <c r="C11" s="44">
        <f t="shared" si="0"/>
        <v>1.0096153846153846</v>
      </c>
      <c r="D11" s="39">
        <v>1233</v>
      </c>
      <c r="E11" s="44">
        <f t="shared" si="1"/>
        <v>1.5018270401948843</v>
      </c>
      <c r="F11" s="39">
        <v>642</v>
      </c>
      <c r="G11" s="44">
        <f t="shared" si="2"/>
        <v>0.6577868852459017</v>
      </c>
      <c r="H11" s="39">
        <v>5391</v>
      </c>
      <c r="I11" s="44">
        <f t="shared" si="3"/>
        <v>0.8768705270006506</v>
      </c>
      <c r="J11" s="39">
        <v>9565</v>
      </c>
      <c r="K11" s="44">
        <f t="shared" si="4"/>
        <v>1.0116340560549975</v>
      </c>
      <c r="L11" s="39">
        <v>3000</v>
      </c>
      <c r="M11" s="44">
        <f t="shared" si="4"/>
        <v>0.6400682739492213</v>
      </c>
      <c r="N11" s="39">
        <v>66</v>
      </c>
      <c r="O11" s="44">
        <f t="shared" si="5"/>
        <v>0.5546218487394958</v>
      </c>
      <c r="P11" s="39">
        <v>0</v>
      </c>
      <c r="Q11" s="44">
        <f t="shared" si="6"/>
      </c>
      <c r="R11" s="52">
        <v>0</v>
      </c>
      <c r="S11" s="29">
        <f t="shared" si="7"/>
      </c>
      <c r="T11" s="39">
        <v>0</v>
      </c>
      <c r="U11" s="44">
        <f t="shared" si="8"/>
      </c>
      <c r="V11" s="31">
        <v>20947</v>
      </c>
      <c r="W11" s="33">
        <f t="shared" si="9"/>
        <v>0.9011012647337177</v>
      </c>
    </row>
    <row r="12" spans="1:23" ht="24" customHeight="1">
      <c r="A12" s="27" t="s">
        <v>15</v>
      </c>
      <c r="B12" s="39">
        <v>959</v>
      </c>
      <c r="C12" s="44">
        <f t="shared" si="0"/>
        <v>0.9133333333333333</v>
      </c>
      <c r="D12" s="39">
        <v>941</v>
      </c>
      <c r="E12" s="44">
        <f t="shared" si="1"/>
        <v>0.7631792376317924</v>
      </c>
      <c r="F12" s="39">
        <v>633</v>
      </c>
      <c r="G12" s="44">
        <f t="shared" si="2"/>
        <v>0.985981308411215</v>
      </c>
      <c r="H12" s="39">
        <v>6024</v>
      </c>
      <c r="I12" s="44">
        <f t="shared" si="3"/>
        <v>1.117417918753478</v>
      </c>
      <c r="J12" s="39">
        <v>8005</v>
      </c>
      <c r="K12" s="44">
        <f t="shared" si="4"/>
        <v>0.8369053842132775</v>
      </c>
      <c r="L12" s="39">
        <v>2712</v>
      </c>
      <c r="M12" s="44">
        <f t="shared" si="4"/>
        <v>0.904</v>
      </c>
      <c r="N12" s="39">
        <v>133</v>
      </c>
      <c r="O12" s="44">
        <f t="shared" si="5"/>
        <v>2.015151515151515</v>
      </c>
      <c r="P12" s="39">
        <v>0</v>
      </c>
      <c r="Q12" s="44">
        <f t="shared" si="6"/>
      </c>
      <c r="R12" s="52">
        <v>0</v>
      </c>
      <c r="S12" s="29">
        <f t="shared" si="7"/>
      </c>
      <c r="T12" s="39">
        <v>0</v>
      </c>
      <c r="U12" s="44">
        <f t="shared" si="8"/>
      </c>
      <c r="V12" s="31">
        <v>19407</v>
      </c>
      <c r="W12" s="32">
        <f t="shared" si="9"/>
        <v>0.926481119014656</v>
      </c>
    </row>
    <row r="13" spans="1:23" ht="24" customHeight="1">
      <c r="A13" s="27" t="s">
        <v>16</v>
      </c>
      <c r="B13" s="39">
        <v>674</v>
      </c>
      <c r="C13" s="44">
        <f t="shared" si="0"/>
        <v>0.7028154327424401</v>
      </c>
      <c r="D13" s="39">
        <v>685</v>
      </c>
      <c r="E13" s="44">
        <f t="shared" si="1"/>
        <v>0.7279489904357067</v>
      </c>
      <c r="F13" s="39">
        <v>655</v>
      </c>
      <c r="G13" s="44">
        <f t="shared" si="2"/>
        <v>1.0347551342812007</v>
      </c>
      <c r="H13" s="39">
        <v>5769</v>
      </c>
      <c r="I13" s="44">
        <f t="shared" si="3"/>
        <v>0.9576693227091634</v>
      </c>
      <c r="J13" s="39">
        <v>7157</v>
      </c>
      <c r="K13" s="44">
        <f t="shared" si="4"/>
        <v>0.8940662086196127</v>
      </c>
      <c r="L13" s="39">
        <v>3873</v>
      </c>
      <c r="M13" s="44">
        <f t="shared" si="4"/>
        <v>1.4280973451327434</v>
      </c>
      <c r="N13" s="39">
        <v>306</v>
      </c>
      <c r="O13" s="44">
        <f t="shared" si="5"/>
        <v>2.300751879699248</v>
      </c>
      <c r="P13" s="39">
        <v>0</v>
      </c>
      <c r="Q13" s="44">
        <f t="shared" si="6"/>
      </c>
      <c r="R13" s="52">
        <v>0</v>
      </c>
      <c r="S13" s="29">
        <f t="shared" si="7"/>
      </c>
      <c r="T13" s="39">
        <v>98</v>
      </c>
      <c r="U13" s="44">
        <f t="shared" si="8"/>
      </c>
      <c r="V13" s="31">
        <v>19217</v>
      </c>
      <c r="W13" s="32">
        <f t="shared" si="9"/>
        <v>0.9902097181429381</v>
      </c>
    </row>
    <row r="14" spans="1:23" ht="24" customHeight="1">
      <c r="A14" s="27" t="s">
        <v>17</v>
      </c>
      <c r="B14" s="39">
        <v>607</v>
      </c>
      <c r="C14" s="44">
        <f t="shared" si="0"/>
        <v>0.900593471810089</v>
      </c>
      <c r="D14" s="39">
        <v>1271</v>
      </c>
      <c r="E14" s="44">
        <f t="shared" si="1"/>
        <v>1.8554744525547446</v>
      </c>
      <c r="F14" s="39">
        <v>405</v>
      </c>
      <c r="G14" s="44">
        <f t="shared" si="2"/>
        <v>0.6183206106870229</v>
      </c>
      <c r="H14" s="39">
        <v>5553</v>
      </c>
      <c r="I14" s="44">
        <f t="shared" si="3"/>
        <v>0.9625585023400937</v>
      </c>
      <c r="J14" s="39">
        <v>7281</v>
      </c>
      <c r="K14" s="44">
        <f t="shared" si="4"/>
        <v>1.0173256951236551</v>
      </c>
      <c r="L14" s="39">
        <v>2789</v>
      </c>
      <c r="M14" s="44">
        <f t="shared" si="4"/>
        <v>0.7201136070229796</v>
      </c>
      <c r="N14" s="39">
        <v>370</v>
      </c>
      <c r="O14" s="44">
        <f t="shared" si="5"/>
        <v>1.2091503267973855</v>
      </c>
      <c r="P14" s="39">
        <v>0</v>
      </c>
      <c r="Q14" s="44">
        <f t="shared" si="6"/>
      </c>
      <c r="R14" s="52">
        <v>0</v>
      </c>
      <c r="S14" s="29">
        <f t="shared" si="7"/>
      </c>
      <c r="T14" s="39">
        <v>145</v>
      </c>
      <c r="U14" s="44">
        <f t="shared" si="8"/>
        <v>1.4795918367346939</v>
      </c>
      <c r="V14" s="31">
        <v>18276</v>
      </c>
      <c r="W14" s="32">
        <f t="shared" si="9"/>
        <v>0.9510329395847427</v>
      </c>
    </row>
    <row r="15" spans="1:23" ht="24" customHeight="1">
      <c r="A15" s="27" t="s">
        <v>18</v>
      </c>
      <c r="B15" s="39">
        <v>617</v>
      </c>
      <c r="C15" s="44">
        <f t="shared" si="0"/>
        <v>1.016474464579901</v>
      </c>
      <c r="D15" s="39">
        <v>706</v>
      </c>
      <c r="E15" s="44">
        <f t="shared" si="1"/>
        <v>0.5554681353265145</v>
      </c>
      <c r="F15" s="39">
        <v>472</v>
      </c>
      <c r="G15" s="44">
        <f t="shared" si="2"/>
        <v>1.165432098765432</v>
      </c>
      <c r="H15" s="39">
        <v>5552</v>
      </c>
      <c r="I15" s="44">
        <f t="shared" si="3"/>
        <v>0.9998199171618944</v>
      </c>
      <c r="J15" s="39">
        <v>5359</v>
      </c>
      <c r="K15" s="44">
        <f t="shared" si="4"/>
        <v>0.7360252712539487</v>
      </c>
      <c r="L15" s="39">
        <v>2860</v>
      </c>
      <c r="M15" s="44">
        <f t="shared" si="4"/>
        <v>1.02545715310147</v>
      </c>
      <c r="N15" s="39">
        <v>311</v>
      </c>
      <c r="O15" s="44">
        <f t="shared" si="5"/>
        <v>0.8405405405405405</v>
      </c>
      <c r="P15" s="39">
        <v>0</v>
      </c>
      <c r="Q15" s="44">
        <f t="shared" si="6"/>
      </c>
      <c r="R15" s="52">
        <v>0</v>
      </c>
      <c r="S15" s="29">
        <f t="shared" si="7"/>
      </c>
      <c r="T15" s="39">
        <v>106</v>
      </c>
      <c r="U15" s="44">
        <f t="shared" si="8"/>
        <v>0.7310344827586207</v>
      </c>
      <c r="V15" s="31">
        <v>15983</v>
      </c>
      <c r="W15" s="32">
        <f t="shared" si="9"/>
        <v>0.8745349091704968</v>
      </c>
    </row>
    <row r="16" spans="1:23" ht="24" customHeight="1">
      <c r="A16" s="27" t="s">
        <v>19</v>
      </c>
      <c r="B16" s="39">
        <v>590</v>
      </c>
      <c r="C16" s="44">
        <f t="shared" si="0"/>
        <v>0.9562398703403565</v>
      </c>
      <c r="D16" s="39">
        <v>158</v>
      </c>
      <c r="E16" s="44">
        <f t="shared" si="1"/>
        <v>0.2237960339943343</v>
      </c>
      <c r="F16" s="39">
        <v>527</v>
      </c>
      <c r="G16" s="44">
        <f t="shared" si="2"/>
        <v>1.1165254237288136</v>
      </c>
      <c r="H16" s="39">
        <v>4526</v>
      </c>
      <c r="I16" s="44">
        <f t="shared" si="3"/>
        <v>0.8152017291066282</v>
      </c>
      <c r="J16" s="39">
        <v>4266</v>
      </c>
      <c r="K16" s="44">
        <f t="shared" si="4"/>
        <v>0.7960440380668035</v>
      </c>
      <c r="L16" s="39">
        <v>3578</v>
      </c>
      <c r="M16" s="44">
        <f t="shared" si="4"/>
        <v>1.251048951048951</v>
      </c>
      <c r="N16" s="39">
        <v>285</v>
      </c>
      <c r="O16" s="44">
        <f t="shared" si="5"/>
        <v>0.9163987138263665</v>
      </c>
      <c r="P16" s="39">
        <v>0</v>
      </c>
      <c r="Q16" s="44">
        <f t="shared" si="6"/>
      </c>
      <c r="R16" s="52">
        <v>0</v>
      </c>
      <c r="S16" s="29">
        <f t="shared" si="7"/>
      </c>
      <c r="T16" s="39">
        <v>154</v>
      </c>
      <c r="U16" s="44">
        <f t="shared" si="8"/>
        <v>1.4528301886792452</v>
      </c>
      <c r="V16" s="31">
        <v>14084</v>
      </c>
      <c r="W16" s="32">
        <f t="shared" si="9"/>
        <v>0.8811862604016768</v>
      </c>
    </row>
    <row r="17" spans="1:23" ht="24" customHeight="1">
      <c r="A17" s="27" t="s">
        <v>42</v>
      </c>
      <c r="B17" s="39">
        <v>510</v>
      </c>
      <c r="C17" s="44">
        <f t="shared" si="0"/>
        <v>0.864406779661017</v>
      </c>
      <c r="D17" s="39">
        <v>670</v>
      </c>
      <c r="E17" s="44">
        <f t="shared" si="1"/>
        <v>4.2405063291139244</v>
      </c>
      <c r="F17" s="39">
        <v>240</v>
      </c>
      <c r="G17" s="44">
        <f t="shared" si="2"/>
        <v>0.45540796963946867</v>
      </c>
      <c r="H17" s="39">
        <v>4076</v>
      </c>
      <c r="I17" s="44">
        <f t="shared" si="3"/>
        <v>0.900574458683164</v>
      </c>
      <c r="J17" s="39">
        <v>4941</v>
      </c>
      <c r="K17" s="44">
        <f t="shared" si="4"/>
        <v>1.1582278481012658</v>
      </c>
      <c r="L17" s="39">
        <v>2874</v>
      </c>
      <c r="M17" s="44">
        <f t="shared" si="4"/>
        <v>0.8032420346562326</v>
      </c>
      <c r="N17" s="39">
        <v>33</v>
      </c>
      <c r="O17" s="44">
        <f t="shared" si="5"/>
        <v>0.11578947368421053</v>
      </c>
      <c r="P17" s="39">
        <v>0</v>
      </c>
      <c r="Q17" s="44">
        <f t="shared" si="6"/>
      </c>
      <c r="R17" s="52">
        <v>0</v>
      </c>
      <c r="S17" s="44">
        <f t="shared" si="7"/>
      </c>
      <c r="T17" s="56">
        <v>0</v>
      </c>
      <c r="U17" s="44">
        <f t="shared" si="8"/>
        <v>0</v>
      </c>
      <c r="V17" s="31">
        <v>13344</v>
      </c>
      <c r="W17" s="44">
        <f t="shared" si="9"/>
        <v>0.9474581084919057</v>
      </c>
    </row>
    <row r="18" spans="1:23" ht="24" customHeight="1">
      <c r="A18" s="27" t="s">
        <v>53</v>
      </c>
      <c r="B18" s="39">
        <v>593</v>
      </c>
      <c r="C18" s="44">
        <f t="shared" si="0"/>
        <v>1.1627450980392158</v>
      </c>
      <c r="D18" s="39">
        <v>304</v>
      </c>
      <c r="E18" s="44">
        <f t="shared" si="1"/>
        <v>0.4537313432835821</v>
      </c>
      <c r="F18" s="39">
        <v>292</v>
      </c>
      <c r="G18" s="44">
        <f t="shared" si="2"/>
        <v>1.2166666666666666</v>
      </c>
      <c r="H18" s="39">
        <v>3400</v>
      </c>
      <c r="I18" s="44">
        <f t="shared" si="3"/>
        <v>0.8341511285574092</v>
      </c>
      <c r="J18" s="39">
        <v>2931</v>
      </c>
      <c r="K18" s="44">
        <f t="shared" si="4"/>
        <v>0.5931997571341834</v>
      </c>
      <c r="L18" s="39">
        <v>2171</v>
      </c>
      <c r="M18" s="44">
        <f t="shared" si="4"/>
        <v>0.7553931802366041</v>
      </c>
      <c r="N18" s="39">
        <v>305</v>
      </c>
      <c r="O18" s="44">
        <f t="shared" si="5"/>
        <v>9.242424242424242</v>
      </c>
      <c r="P18" s="51">
        <v>0</v>
      </c>
      <c r="Q18" s="44">
        <f t="shared" si="6"/>
      </c>
      <c r="R18" s="53">
        <v>0</v>
      </c>
      <c r="S18" s="44">
        <f t="shared" si="7"/>
      </c>
      <c r="T18" s="56">
        <v>0</v>
      </c>
      <c r="U18" s="44">
        <f t="shared" si="8"/>
      </c>
      <c r="V18" s="31">
        <v>9996</v>
      </c>
      <c r="W18" s="44">
        <f t="shared" si="9"/>
        <v>0.7491007194244604</v>
      </c>
    </row>
    <row r="19" spans="1:23" ht="24" customHeight="1">
      <c r="A19" s="27" t="s">
        <v>80</v>
      </c>
      <c r="B19" s="39">
        <v>427</v>
      </c>
      <c r="C19" s="44">
        <f t="shared" si="0"/>
        <v>0.7200674536256324</v>
      </c>
      <c r="D19" s="39">
        <v>534</v>
      </c>
      <c r="E19" s="44">
        <f t="shared" si="1"/>
        <v>1.756578947368421</v>
      </c>
      <c r="F19" s="39">
        <v>320</v>
      </c>
      <c r="G19" s="44">
        <f t="shared" si="2"/>
        <v>1.095890410958904</v>
      </c>
      <c r="H19" s="39">
        <v>3926</v>
      </c>
      <c r="I19" s="44">
        <f t="shared" si="3"/>
        <v>1.1547058823529412</v>
      </c>
      <c r="J19" s="39">
        <v>5274</v>
      </c>
      <c r="K19" s="44">
        <f t="shared" si="4"/>
        <v>1.7993858751279428</v>
      </c>
      <c r="L19" s="39">
        <v>2402</v>
      </c>
      <c r="M19" s="44">
        <f t="shared" si="4"/>
        <v>1.1064025794564716</v>
      </c>
      <c r="N19" s="39">
        <v>232</v>
      </c>
      <c r="O19" s="44">
        <f t="shared" si="5"/>
        <v>0.760655737704918</v>
      </c>
      <c r="P19" s="51">
        <v>0</v>
      </c>
      <c r="Q19" s="44">
        <f t="shared" si="6"/>
      </c>
      <c r="R19" s="53">
        <v>0</v>
      </c>
      <c r="S19" s="44">
        <f t="shared" si="7"/>
      </c>
      <c r="T19" s="56">
        <v>0</v>
      </c>
      <c r="U19" s="44">
        <f t="shared" si="8"/>
      </c>
      <c r="V19" s="31">
        <v>13115</v>
      </c>
      <c r="W19" s="44">
        <f t="shared" si="9"/>
        <v>1.3120248099239695</v>
      </c>
    </row>
    <row r="20" spans="1:23" ht="24" customHeight="1">
      <c r="A20" s="27" t="s">
        <v>83</v>
      </c>
      <c r="B20" s="39">
        <v>363</v>
      </c>
      <c r="C20" s="44">
        <f t="shared" si="0"/>
        <v>0.8501170960187353</v>
      </c>
      <c r="D20" s="39">
        <v>407</v>
      </c>
      <c r="E20" s="44">
        <f t="shared" si="1"/>
        <v>0.7621722846441947</v>
      </c>
      <c r="F20" s="39">
        <v>148</v>
      </c>
      <c r="G20" s="44">
        <f t="shared" si="2"/>
        <v>0.4625</v>
      </c>
      <c r="H20" s="39">
        <v>5644</v>
      </c>
      <c r="I20" s="44">
        <f t="shared" si="3"/>
        <v>1.4375955170657158</v>
      </c>
      <c r="J20" s="39">
        <v>1667</v>
      </c>
      <c r="K20" s="44">
        <f t="shared" si="4"/>
        <v>0.3160788775123246</v>
      </c>
      <c r="L20" s="39">
        <v>1567</v>
      </c>
      <c r="M20" s="44">
        <f t="shared" si="4"/>
        <v>0.6523730224812656</v>
      </c>
      <c r="N20" s="39">
        <v>185</v>
      </c>
      <c r="O20" s="44">
        <f t="shared" si="5"/>
        <v>0.7974137931034483</v>
      </c>
      <c r="P20" s="51">
        <v>0</v>
      </c>
      <c r="Q20" s="44">
        <f t="shared" si="6"/>
      </c>
      <c r="R20" s="53">
        <v>0</v>
      </c>
      <c r="S20" s="44">
        <f t="shared" si="7"/>
      </c>
      <c r="T20" s="56">
        <v>0</v>
      </c>
      <c r="U20" s="44">
        <f t="shared" si="8"/>
      </c>
      <c r="V20" s="31">
        <v>9981</v>
      </c>
      <c r="W20" s="44">
        <f t="shared" si="9"/>
        <v>0.7610369805566146</v>
      </c>
    </row>
    <row r="21" spans="1:23" ht="24" customHeight="1">
      <c r="A21" s="27" t="s">
        <v>90</v>
      </c>
      <c r="B21" s="39">
        <v>498</v>
      </c>
      <c r="C21" s="44">
        <f t="shared" si="0"/>
        <v>1.371900826446281</v>
      </c>
      <c r="D21" s="39">
        <v>300</v>
      </c>
      <c r="E21" s="44">
        <f t="shared" si="1"/>
        <v>0.7371007371007371</v>
      </c>
      <c r="F21" s="39">
        <v>324</v>
      </c>
      <c r="G21" s="44">
        <f t="shared" si="2"/>
        <v>2.189189189189189</v>
      </c>
      <c r="H21" s="39">
        <v>4278</v>
      </c>
      <c r="I21" s="44">
        <f t="shared" si="3"/>
        <v>0.7579730687455705</v>
      </c>
      <c r="J21" s="39">
        <v>2239</v>
      </c>
      <c r="K21" s="44">
        <f t="shared" si="4"/>
        <v>1.343131373725255</v>
      </c>
      <c r="L21" s="39">
        <v>1804</v>
      </c>
      <c r="M21" s="44">
        <f t="shared" si="4"/>
        <v>1.1512444160816848</v>
      </c>
      <c r="N21" s="39">
        <v>152</v>
      </c>
      <c r="O21" s="44">
        <f t="shared" si="5"/>
        <v>0.8216216216216217</v>
      </c>
      <c r="P21" s="51">
        <v>0</v>
      </c>
      <c r="Q21" s="44">
        <f t="shared" si="6"/>
      </c>
      <c r="R21" s="53">
        <v>0</v>
      </c>
      <c r="S21" s="44">
        <f t="shared" si="7"/>
      </c>
      <c r="T21" s="56">
        <v>244</v>
      </c>
      <c r="U21" s="44">
        <f t="shared" si="8"/>
      </c>
      <c r="V21" s="31">
        <v>9839</v>
      </c>
      <c r="W21" s="44">
        <f t="shared" si="9"/>
        <v>0.9857729686404167</v>
      </c>
    </row>
    <row r="22" spans="1:23" ht="24" customHeight="1">
      <c r="A22" s="27" t="s">
        <v>101</v>
      </c>
      <c r="B22" s="39">
        <v>304</v>
      </c>
      <c r="C22" s="44">
        <f>IF(B21=0,"",B22/B21)</f>
        <v>0.6104417670682731</v>
      </c>
      <c r="D22" s="39">
        <v>84</v>
      </c>
      <c r="E22" s="44">
        <f>IF(D21=0,"",D22/D21)</f>
        <v>0.28</v>
      </c>
      <c r="F22" s="39">
        <v>264</v>
      </c>
      <c r="G22" s="44">
        <f>IF(F21=0,"",F22/F21)</f>
        <v>0.8148148148148148</v>
      </c>
      <c r="H22" s="39">
        <v>4680</v>
      </c>
      <c r="I22" s="44">
        <f>IF(H21=0,"",H22/H21)</f>
        <v>1.0939691444600281</v>
      </c>
      <c r="J22" s="39">
        <v>1433</v>
      </c>
      <c r="K22" s="44">
        <f>IF(J21=0,"",J22/J21)</f>
        <v>0.6400178651183565</v>
      </c>
      <c r="L22" s="39">
        <v>1177</v>
      </c>
      <c r="M22" s="44">
        <f>IF(L21=0,"",L22/L21)</f>
        <v>0.6524390243902439</v>
      </c>
      <c r="N22" s="39">
        <v>115</v>
      </c>
      <c r="O22" s="44">
        <f>IF(N21=0,"",N22/N21)</f>
        <v>0.756578947368421</v>
      </c>
      <c r="P22" s="51">
        <v>0</v>
      </c>
      <c r="Q22" s="44">
        <f>IF(P21=0,"",P22/P21)</f>
      </c>
      <c r="R22" s="53">
        <v>0</v>
      </c>
      <c r="S22" s="44">
        <f>IF(R21=0,"",R22/R21)</f>
      </c>
      <c r="T22" s="56">
        <v>324</v>
      </c>
      <c r="U22" s="44">
        <f>IF(T21=0,"",T22/T21)</f>
        <v>1.3278688524590163</v>
      </c>
      <c r="V22" s="31">
        <v>8381</v>
      </c>
      <c r="W22" s="44">
        <f>IF(V21=0,"",V22/V21)</f>
        <v>0.851814208761053</v>
      </c>
    </row>
    <row r="24" spans="1:23" ht="24" customHeight="1">
      <c r="A24" s="22" t="s">
        <v>20</v>
      </c>
      <c r="B24" s="22"/>
      <c r="C24" s="22"/>
      <c r="D24" s="22"/>
      <c r="E24" s="22"/>
      <c r="F24" s="22"/>
      <c r="G24" s="22"/>
      <c r="H24" s="22"/>
      <c r="I24" s="48"/>
      <c r="J24" s="22"/>
      <c r="K24" s="22"/>
      <c r="L24" s="22"/>
      <c r="M24" s="22"/>
      <c r="N24" s="22"/>
      <c r="O24" s="48"/>
      <c r="P24" s="22"/>
      <c r="Q24" s="22"/>
      <c r="R24" s="22"/>
      <c r="S24" s="22"/>
      <c r="T24" s="22"/>
      <c r="U24" s="22"/>
      <c r="V24" s="22"/>
      <c r="W24" s="22"/>
    </row>
    <row r="25" spans="1:27" ht="24" customHeight="1">
      <c r="A25" s="93" t="s">
        <v>1</v>
      </c>
      <c r="B25" s="91" t="s">
        <v>21</v>
      </c>
      <c r="C25" s="92"/>
      <c r="D25" s="91" t="s">
        <v>22</v>
      </c>
      <c r="E25" s="92"/>
      <c r="F25" s="91" t="s">
        <v>23</v>
      </c>
      <c r="G25" s="92"/>
      <c r="H25" s="91" t="s">
        <v>24</v>
      </c>
      <c r="I25" s="92"/>
      <c r="J25" s="91" t="s">
        <v>25</v>
      </c>
      <c r="K25" s="92"/>
      <c r="L25" s="91" t="s">
        <v>26</v>
      </c>
      <c r="M25" s="92"/>
      <c r="N25" s="91" t="s">
        <v>27</v>
      </c>
      <c r="O25" s="92"/>
      <c r="P25" s="91" t="s">
        <v>28</v>
      </c>
      <c r="Q25" s="92"/>
      <c r="R25" s="91" t="s">
        <v>29</v>
      </c>
      <c r="S25" s="92"/>
      <c r="T25" s="91" t="s">
        <v>102</v>
      </c>
      <c r="U25" s="92"/>
      <c r="V25" s="91" t="s">
        <v>103</v>
      </c>
      <c r="W25" s="92"/>
      <c r="X25" s="91" t="s">
        <v>50</v>
      </c>
      <c r="Y25" s="92"/>
      <c r="Z25" s="20" t="s">
        <v>5</v>
      </c>
      <c r="AA25" s="21"/>
    </row>
    <row r="26" spans="1:27" ht="24" customHeight="1">
      <c r="A26" s="94"/>
      <c r="B26" s="35"/>
      <c r="C26" s="36" t="s">
        <v>6</v>
      </c>
      <c r="D26" s="35"/>
      <c r="E26" s="36" t="s">
        <v>6</v>
      </c>
      <c r="F26" s="35"/>
      <c r="G26" s="36" t="s">
        <v>6</v>
      </c>
      <c r="H26" s="37"/>
      <c r="I26" s="36" t="s">
        <v>6</v>
      </c>
      <c r="J26" s="35"/>
      <c r="K26" s="36" t="s">
        <v>6</v>
      </c>
      <c r="L26" s="35"/>
      <c r="M26" s="36" t="s">
        <v>6</v>
      </c>
      <c r="N26" s="35"/>
      <c r="O26" s="36" t="s">
        <v>6</v>
      </c>
      <c r="P26" s="38"/>
      <c r="Q26" s="36" t="s">
        <v>6</v>
      </c>
      <c r="R26" s="35"/>
      <c r="S26" s="36" t="s">
        <v>6</v>
      </c>
      <c r="T26" s="38"/>
      <c r="U26" s="36" t="s">
        <v>6</v>
      </c>
      <c r="V26" s="38"/>
      <c r="W26" s="36" t="s">
        <v>6</v>
      </c>
      <c r="X26" s="38"/>
      <c r="Y26" s="36" t="s">
        <v>6</v>
      </c>
      <c r="Z26" s="38"/>
      <c r="AA26" s="36" t="s">
        <v>6</v>
      </c>
    </row>
    <row r="27" spans="1:27" ht="24" customHeight="1">
      <c r="A27" s="23" t="s">
        <v>30</v>
      </c>
      <c r="B27" s="39">
        <v>32</v>
      </c>
      <c r="C27" s="40">
        <f aca="true" t="shared" si="10" ref="C27:C41">IF(B26=0,"",B27/B26)</f>
      </c>
      <c r="D27" s="54">
        <v>0</v>
      </c>
      <c r="E27" s="41">
        <f aca="true" t="shared" si="11" ref="E27:E41">IF(D26=0,"",D27/D26)</f>
      </c>
      <c r="F27" s="42">
        <v>2</v>
      </c>
      <c r="G27" s="41">
        <f aca="true" t="shared" si="12" ref="G27:G41">IF(F26=0,"",F27/F26)</f>
      </c>
      <c r="H27" s="42">
        <v>386</v>
      </c>
      <c r="I27" s="40" t="e">
        <v>#DIV/0!</v>
      </c>
      <c r="J27" s="39">
        <v>88</v>
      </c>
      <c r="K27" s="41">
        <f aca="true" t="shared" si="13" ref="K27:K41">IF(J26=0,"",J27/J26)</f>
      </c>
      <c r="L27" s="39">
        <v>0</v>
      </c>
      <c r="M27" s="41">
        <f aca="true" t="shared" si="14" ref="M27:M41">IF(L26=0,"",L27/L26)</f>
      </c>
      <c r="N27" s="39">
        <v>92</v>
      </c>
      <c r="O27" s="41">
        <f aca="true" t="shared" si="15" ref="O27:O41">IF(N26=0,"",N27/N26)</f>
      </c>
      <c r="P27" s="39">
        <v>67</v>
      </c>
      <c r="Q27" s="41">
        <f aca="true" t="shared" si="16" ref="Q27:Q41">IF(P26=0,"",P27/P26)</f>
      </c>
      <c r="R27" s="39">
        <v>0</v>
      </c>
      <c r="S27" s="41">
        <f aca="true" t="shared" si="17" ref="S27:S41">IF(R26=0,"",R27/R26)</f>
      </c>
      <c r="T27" s="39">
        <v>0</v>
      </c>
      <c r="U27" s="41">
        <f aca="true" t="shared" si="18" ref="U27:U41">IF(T26=0,"",T27/T26)</f>
      </c>
      <c r="V27" s="39">
        <v>0</v>
      </c>
      <c r="W27" s="41">
        <f aca="true" t="shared" si="19" ref="W27:W41">IF(V26=0,"",V27/V26)</f>
      </c>
      <c r="X27" s="39">
        <v>0</v>
      </c>
      <c r="Y27" s="41">
        <f aca="true" t="shared" si="20" ref="Y27:Y41">IF(X26=0,"",X27/X26)</f>
      </c>
      <c r="Z27" s="43">
        <v>670</v>
      </c>
      <c r="AA27" s="41">
        <f aca="true" t="shared" si="21" ref="AA27:AA41">IF(Z26=0,"",Z27/Z26)</f>
      </c>
    </row>
    <row r="28" spans="1:27" ht="24" customHeight="1">
      <c r="A28" s="23" t="s">
        <v>31</v>
      </c>
      <c r="B28" s="39">
        <v>90</v>
      </c>
      <c r="C28" s="44">
        <f t="shared" si="10"/>
        <v>2.8125</v>
      </c>
      <c r="D28" s="39">
        <v>3</v>
      </c>
      <c r="E28" s="41">
        <f t="shared" si="11"/>
      </c>
      <c r="F28" s="42">
        <v>0</v>
      </c>
      <c r="G28" s="44">
        <f t="shared" si="12"/>
        <v>0</v>
      </c>
      <c r="H28" s="42">
        <v>319</v>
      </c>
      <c r="I28" s="44">
        <f aca="true" t="shared" si="22" ref="I28:I41">IF(H27=0,"",H28/H27)</f>
        <v>0.8264248704663213</v>
      </c>
      <c r="J28" s="39">
        <v>96</v>
      </c>
      <c r="K28" s="45">
        <f t="shared" si="13"/>
        <v>1.0909090909090908</v>
      </c>
      <c r="L28" s="39">
        <v>0</v>
      </c>
      <c r="M28" s="41">
        <f t="shared" si="14"/>
      </c>
      <c r="N28" s="39">
        <v>130</v>
      </c>
      <c r="O28" s="45">
        <f t="shared" si="15"/>
        <v>1.4130434782608696</v>
      </c>
      <c r="P28" s="39">
        <v>96</v>
      </c>
      <c r="Q28" s="45">
        <f t="shared" si="16"/>
        <v>1.4328358208955223</v>
      </c>
      <c r="R28" s="39">
        <v>0</v>
      </c>
      <c r="S28" s="41">
        <f t="shared" si="17"/>
      </c>
      <c r="T28" s="39">
        <v>0</v>
      </c>
      <c r="U28" s="45">
        <f t="shared" si="18"/>
      </c>
      <c r="V28" s="39">
        <v>0</v>
      </c>
      <c r="W28" s="45">
        <f t="shared" si="19"/>
      </c>
      <c r="X28" s="39">
        <v>0</v>
      </c>
      <c r="Y28" s="45">
        <f t="shared" si="20"/>
      </c>
      <c r="Z28" s="43">
        <v>734</v>
      </c>
      <c r="AA28" s="44">
        <f t="shared" si="21"/>
        <v>1.0955223880597016</v>
      </c>
    </row>
    <row r="29" spans="1:27" ht="24" customHeight="1">
      <c r="A29" s="23" t="s">
        <v>32</v>
      </c>
      <c r="B29" s="39">
        <v>32</v>
      </c>
      <c r="C29" s="44">
        <f t="shared" si="10"/>
        <v>0.35555555555555557</v>
      </c>
      <c r="D29" s="39">
        <v>2</v>
      </c>
      <c r="E29" s="45">
        <f t="shared" si="11"/>
        <v>0.6666666666666666</v>
      </c>
      <c r="F29" s="42">
        <v>3</v>
      </c>
      <c r="G29" s="41">
        <f t="shared" si="12"/>
      </c>
      <c r="H29" s="42">
        <v>262</v>
      </c>
      <c r="I29" s="44">
        <f t="shared" si="22"/>
        <v>0.8213166144200627</v>
      </c>
      <c r="J29" s="39">
        <v>105</v>
      </c>
      <c r="K29" s="45">
        <f t="shared" si="13"/>
        <v>1.09375</v>
      </c>
      <c r="L29" s="39">
        <v>0</v>
      </c>
      <c r="M29" s="41">
        <f t="shared" si="14"/>
      </c>
      <c r="N29" s="39">
        <v>88</v>
      </c>
      <c r="O29" s="45">
        <f t="shared" si="15"/>
        <v>0.676923076923077</v>
      </c>
      <c r="P29" s="39">
        <v>185</v>
      </c>
      <c r="Q29" s="45">
        <f t="shared" si="16"/>
        <v>1.9270833333333333</v>
      </c>
      <c r="R29" s="39">
        <v>0</v>
      </c>
      <c r="S29" s="41">
        <f t="shared" si="17"/>
      </c>
      <c r="T29" s="39">
        <v>0</v>
      </c>
      <c r="U29" s="45">
        <f t="shared" si="18"/>
      </c>
      <c r="V29" s="39">
        <v>0</v>
      </c>
      <c r="W29" s="45">
        <f t="shared" si="19"/>
      </c>
      <c r="X29" s="39">
        <v>0</v>
      </c>
      <c r="Y29" s="45">
        <f t="shared" si="20"/>
      </c>
      <c r="Z29" s="43">
        <v>677</v>
      </c>
      <c r="AA29" s="44">
        <f t="shared" si="21"/>
        <v>0.9223433242506812</v>
      </c>
    </row>
    <row r="30" spans="1:27" ht="24" customHeight="1">
      <c r="A30" s="23" t="s">
        <v>33</v>
      </c>
      <c r="B30" s="39">
        <v>85</v>
      </c>
      <c r="C30" s="44">
        <f t="shared" si="10"/>
        <v>2.65625</v>
      </c>
      <c r="D30" s="39">
        <v>1</v>
      </c>
      <c r="E30" s="45">
        <f t="shared" si="11"/>
        <v>0.5</v>
      </c>
      <c r="F30" s="42">
        <v>12</v>
      </c>
      <c r="G30" s="45">
        <f t="shared" si="12"/>
        <v>4</v>
      </c>
      <c r="H30" s="42">
        <v>147</v>
      </c>
      <c r="I30" s="44">
        <f t="shared" si="22"/>
        <v>0.5610687022900763</v>
      </c>
      <c r="J30" s="39">
        <v>199</v>
      </c>
      <c r="K30" s="45">
        <f t="shared" si="13"/>
        <v>1.8952380952380952</v>
      </c>
      <c r="L30" s="39">
        <v>0</v>
      </c>
      <c r="M30" s="41">
        <f t="shared" si="14"/>
      </c>
      <c r="N30" s="39">
        <v>140</v>
      </c>
      <c r="O30" s="45">
        <f t="shared" si="15"/>
        <v>1.5909090909090908</v>
      </c>
      <c r="P30" s="39">
        <v>526</v>
      </c>
      <c r="Q30" s="45">
        <f t="shared" si="16"/>
        <v>2.843243243243243</v>
      </c>
      <c r="R30" s="39">
        <v>0</v>
      </c>
      <c r="S30" s="41">
        <f t="shared" si="17"/>
      </c>
      <c r="T30" s="39">
        <v>0</v>
      </c>
      <c r="U30" s="45">
        <f t="shared" si="18"/>
      </c>
      <c r="V30" s="39">
        <v>0</v>
      </c>
      <c r="W30" s="45">
        <f t="shared" si="19"/>
      </c>
      <c r="X30" s="39">
        <v>0</v>
      </c>
      <c r="Y30" s="45">
        <f t="shared" si="20"/>
      </c>
      <c r="Z30" s="43">
        <v>1110</v>
      </c>
      <c r="AA30" s="44">
        <f t="shared" si="21"/>
        <v>1.6395864106351552</v>
      </c>
    </row>
    <row r="31" spans="1:27" ht="24" customHeight="1">
      <c r="A31" s="23" t="s">
        <v>34</v>
      </c>
      <c r="B31" s="39">
        <v>34</v>
      </c>
      <c r="C31" s="44">
        <f t="shared" si="10"/>
        <v>0.4</v>
      </c>
      <c r="D31" s="39">
        <v>2</v>
      </c>
      <c r="E31" s="45">
        <f t="shared" si="11"/>
        <v>2</v>
      </c>
      <c r="F31" s="42">
        <v>11</v>
      </c>
      <c r="G31" s="45">
        <f t="shared" si="12"/>
        <v>0.9166666666666666</v>
      </c>
      <c r="H31" s="42">
        <v>141</v>
      </c>
      <c r="I31" s="44">
        <f t="shared" si="22"/>
        <v>0.9591836734693877</v>
      </c>
      <c r="J31" s="39">
        <v>123</v>
      </c>
      <c r="K31" s="45">
        <f t="shared" si="13"/>
        <v>0.6180904522613065</v>
      </c>
      <c r="L31" s="39">
        <v>98</v>
      </c>
      <c r="M31" s="41">
        <f t="shared" si="14"/>
      </c>
      <c r="N31" s="39">
        <v>122</v>
      </c>
      <c r="O31" s="45">
        <f t="shared" si="15"/>
        <v>0.8714285714285714</v>
      </c>
      <c r="P31" s="39">
        <v>439</v>
      </c>
      <c r="Q31" s="45">
        <f t="shared" si="16"/>
        <v>0.8346007604562737</v>
      </c>
      <c r="R31" s="39">
        <v>0</v>
      </c>
      <c r="S31" s="41">
        <f t="shared" si="17"/>
      </c>
      <c r="T31" s="39">
        <v>0</v>
      </c>
      <c r="U31" s="45">
        <f t="shared" si="18"/>
      </c>
      <c r="V31" s="39">
        <v>0</v>
      </c>
      <c r="W31" s="45">
        <f t="shared" si="19"/>
      </c>
      <c r="X31" s="39">
        <v>0</v>
      </c>
      <c r="Y31" s="45">
        <f t="shared" si="20"/>
      </c>
      <c r="Z31" s="43">
        <v>970</v>
      </c>
      <c r="AA31" s="44">
        <f t="shared" si="21"/>
        <v>0.8738738738738738</v>
      </c>
    </row>
    <row r="32" spans="1:27" ht="24" customHeight="1">
      <c r="A32" s="23" t="s">
        <v>35</v>
      </c>
      <c r="B32" s="39">
        <v>39</v>
      </c>
      <c r="C32" s="44">
        <f t="shared" si="10"/>
        <v>1.1470588235294117</v>
      </c>
      <c r="D32" s="39">
        <v>1</v>
      </c>
      <c r="E32" s="45">
        <f t="shared" si="11"/>
        <v>0.5</v>
      </c>
      <c r="F32" s="42">
        <v>18</v>
      </c>
      <c r="G32" s="45">
        <f t="shared" si="12"/>
        <v>1.6363636363636365</v>
      </c>
      <c r="H32" s="42">
        <v>73</v>
      </c>
      <c r="I32" s="44">
        <f t="shared" si="22"/>
        <v>0.5177304964539007</v>
      </c>
      <c r="J32" s="39">
        <v>98</v>
      </c>
      <c r="K32" s="45">
        <f t="shared" si="13"/>
        <v>0.7967479674796748</v>
      </c>
      <c r="L32" s="39">
        <v>123</v>
      </c>
      <c r="M32" s="45">
        <f t="shared" si="14"/>
        <v>1.2551020408163265</v>
      </c>
      <c r="N32" s="39">
        <v>155</v>
      </c>
      <c r="O32" s="45">
        <f t="shared" si="15"/>
        <v>1.2704918032786885</v>
      </c>
      <c r="P32" s="39">
        <v>444</v>
      </c>
      <c r="Q32" s="45">
        <f t="shared" si="16"/>
        <v>1.0113895216400912</v>
      </c>
      <c r="R32" s="39">
        <v>0</v>
      </c>
      <c r="S32" s="41">
        <f t="shared" si="17"/>
      </c>
      <c r="T32" s="39">
        <v>0</v>
      </c>
      <c r="U32" s="45">
        <f t="shared" si="18"/>
      </c>
      <c r="V32" s="39">
        <v>0</v>
      </c>
      <c r="W32" s="45">
        <f t="shared" si="19"/>
      </c>
      <c r="X32" s="39">
        <v>0</v>
      </c>
      <c r="Y32" s="45">
        <f t="shared" si="20"/>
      </c>
      <c r="Z32" s="43">
        <v>951</v>
      </c>
      <c r="AA32" s="44">
        <f t="shared" si="21"/>
        <v>0.9804123711340206</v>
      </c>
    </row>
    <row r="33" spans="1:27" ht="24" customHeight="1">
      <c r="A33" s="23" t="s">
        <v>36</v>
      </c>
      <c r="B33" s="39">
        <v>124</v>
      </c>
      <c r="C33" s="44">
        <f t="shared" si="10"/>
        <v>3.1794871794871793</v>
      </c>
      <c r="D33" s="54">
        <v>0</v>
      </c>
      <c r="E33" s="44">
        <f t="shared" si="11"/>
        <v>0</v>
      </c>
      <c r="F33" s="42">
        <v>22</v>
      </c>
      <c r="G33" s="45">
        <f t="shared" si="12"/>
        <v>1.2222222222222223</v>
      </c>
      <c r="H33" s="42">
        <v>124</v>
      </c>
      <c r="I33" s="44">
        <f t="shared" si="22"/>
        <v>1.6986301369863013</v>
      </c>
      <c r="J33" s="39">
        <v>128</v>
      </c>
      <c r="K33" s="45">
        <f t="shared" si="13"/>
        <v>1.3061224489795917</v>
      </c>
      <c r="L33" s="39">
        <v>182</v>
      </c>
      <c r="M33" s="45">
        <f t="shared" si="14"/>
        <v>1.4796747967479675</v>
      </c>
      <c r="N33" s="39">
        <v>251</v>
      </c>
      <c r="O33" s="45">
        <f t="shared" si="15"/>
        <v>1.6193548387096774</v>
      </c>
      <c r="P33" s="39">
        <v>1083</v>
      </c>
      <c r="Q33" s="45">
        <f t="shared" si="16"/>
        <v>2.439189189189189</v>
      </c>
      <c r="R33" s="39">
        <v>0</v>
      </c>
      <c r="S33" s="41">
        <f t="shared" si="17"/>
      </c>
      <c r="T33" s="39">
        <v>0</v>
      </c>
      <c r="U33" s="45">
        <f t="shared" si="18"/>
      </c>
      <c r="V33" s="39">
        <v>0</v>
      </c>
      <c r="W33" s="45">
        <f t="shared" si="19"/>
      </c>
      <c r="X33" s="39">
        <v>0</v>
      </c>
      <c r="Y33" s="45">
        <f t="shared" si="20"/>
      </c>
      <c r="Z33" s="43">
        <v>1914</v>
      </c>
      <c r="AA33" s="44">
        <f t="shared" si="21"/>
        <v>2.0126182965299684</v>
      </c>
    </row>
    <row r="34" spans="1:27" ht="24" customHeight="1">
      <c r="A34" s="23" t="s">
        <v>37</v>
      </c>
      <c r="B34" s="39">
        <v>52</v>
      </c>
      <c r="C34" s="44">
        <f t="shared" si="10"/>
        <v>0.41935483870967744</v>
      </c>
      <c r="D34" s="54">
        <v>0</v>
      </c>
      <c r="E34" s="44">
        <f t="shared" si="11"/>
      </c>
      <c r="F34" s="42">
        <v>13</v>
      </c>
      <c r="G34" s="45">
        <f t="shared" si="12"/>
        <v>0.5909090909090909</v>
      </c>
      <c r="H34" s="42">
        <v>81</v>
      </c>
      <c r="I34" s="44">
        <f t="shared" si="22"/>
        <v>0.6532258064516129</v>
      </c>
      <c r="J34" s="39">
        <v>117</v>
      </c>
      <c r="K34" s="45">
        <f t="shared" si="13"/>
        <v>0.9140625</v>
      </c>
      <c r="L34" s="39">
        <v>189</v>
      </c>
      <c r="M34" s="45">
        <f t="shared" si="14"/>
        <v>1.0384615384615385</v>
      </c>
      <c r="N34" s="39">
        <v>172</v>
      </c>
      <c r="O34" s="45">
        <f t="shared" si="15"/>
        <v>0.6852589641434262</v>
      </c>
      <c r="P34" s="39">
        <v>657</v>
      </c>
      <c r="Q34" s="45">
        <f t="shared" si="16"/>
        <v>0.6066481994459834</v>
      </c>
      <c r="R34" s="39">
        <v>4</v>
      </c>
      <c r="S34" s="41">
        <f t="shared" si="17"/>
      </c>
      <c r="T34" s="39">
        <v>0</v>
      </c>
      <c r="U34" s="45">
        <f t="shared" si="18"/>
      </c>
      <c r="V34" s="39">
        <v>0</v>
      </c>
      <c r="W34" s="45">
        <f t="shared" si="19"/>
      </c>
      <c r="X34" s="39">
        <v>0</v>
      </c>
      <c r="Y34" s="45">
        <f t="shared" si="20"/>
      </c>
      <c r="Z34" s="43">
        <v>1285</v>
      </c>
      <c r="AA34" s="44">
        <f t="shared" si="21"/>
        <v>0.6713688610240335</v>
      </c>
    </row>
    <row r="35" spans="1:27" ht="24" customHeight="1">
      <c r="A35" s="23" t="s">
        <v>38</v>
      </c>
      <c r="B35" s="39">
        <v>79</v>
      </c>
      <c r="C35" s="44">
        <f t="shared" si="10"/>
        <v>1.5192307692307692</v>
      </c>
      <c r="D35" s="54">
        <v>0</v>
      </c>
      <c r="E35" s="44">
        <f t="shared" si="11"/>
      </c>
      <c r="F35" s="42">
        <v>2</v>
      </c>
      <c r="G35" s="45">
        <f t="shared" si="12"/>
        <v>0.15384615384615385</v>
      </c>
      <c r="H35" s="42">
        <v>103</v>
      </c>
      <c r="I35" s="44">
        <f t="shared" si="22"/>
        <v>1.271604938271605</v>
      </c>
      <c r="J35" s="39">
        <v>100</v>
      </c>
      <c r="K35" s="45">
        <f t="shared" si="13"/>
        <v>0.8547008547008547</v>
      </c>
      <c r="L35" s="39">
        <v>131</v>
      </c>
      <c r="M35" s="45">
        <f t="shared" si="14"/>
        <v>0.6931216931216931</v>
      </c>
      <c r="N35" s="39">
        <v>150</v>
      </c>
      <c r="O35" s="45">
        <f t="shared" si="15"/>
        <v>0.872093023255814</v>
      </c>
      <c r="P35" s="39">
        <v>1060</v>
      </c>
      <c r="Q35" s="45">
        <f t="shared" si="16"/>
        <v>1.613394216133942</v>
      </c>
      <c r="R35" s="39">
        <v>4</v>
      </c>
      <c r="S35" s="45">
        <f t="shared" si="17"/>
        <v>1</v>
      </c>
      <c r="T35" s="39">
        <v>0</v>
      </c>
      <c r="U35" s="45">
        <f t="shared" si="18"/>
      </c>
      <c r="V35" s="39">
        <v>0</v>
      </c>
      <c r="W35" s="45">
        <f t="shared" si="19"/>
      </c>
      <c r="X35" s="39">
        <v>0</v>
      </c>
      <c r="Y35" s="45">
        <f t="shared" si="20"/>
      </c>
      <c r="Z35" s="43">
        <v>1629</v>
      </c>
      <c r="AA35" s="44">
        <f t="shared" si="21"/>
        <v>1.267704280155642</v>
      </c>
    </row>
    <row r="36" spans="1:27" ht="24" customHeight="1">
      <c r="A36" s="23" t="s">
        <v>39</v>
      </c>
      <c r="B36" s="39">
        <v>71</v>
      </c>
      <c r="C36" s="44">
        <f t="shared" si="10"/>
        <v>0.8987341772151899</v>
      </c>
      <c r="D36" s="46">
        <v>0</v>
      </c>
      <c r="E36" s="44">
        <f t="shared" si="11"/>
      </c>
      <c r="F36" s="42">
        <v>15</v>
      </c>
      <c r="G36" s="45">
        <f t="shared" si="12"/>
        <v>7.5</v>
      </c>
      <c r="H36" s="42">
        <v>69</v>
      </c>
      <c r="I36" s="44">
        <f t="shared" si="22"/>
        <v>0.6699029126213593</v>
      </c>
      <c r="J36" s="39">
        <v>101</v>
      </c>
      <c r="K36" s="45">
        <f t="shared" si="13"/>
        <v>1.01</v>
      </c>
      <c r="L36" s="39">
        <v>200</v>
      </c>
      <c r="M36" s="45">
        <f t="shared" si="14"/>
        <v>1.5267175572519085</v>
      </c>
      <c r="N36" s="39">
        <v>167</v>
      </c>
      <c r="O36" s="45">
        <f t="shared" si="15"/>
        <v>1.1133333333333333</v>
      </c>
      <c r="P36" s="39">
        <v>1320</v>
      </c>
      <c r="Q36" s="45">
        <f t="shared" si="16"/>
        <v>1.2452830188679245</v>
      </c>
      <c r="R36" s="39">
        <v>3</v>
      </c>
      <c r="S36" s="45">
        <f t="shared" si="17"/>
        <v>0.75</v>
      </c>
      <c r="T36" s="39">
        <v>0</v>
      </c>
      <c r="U36" s="45">
        <f t="shared" si="18"/>
      </c>
      <c r="V36" s="39">
        <v>0</v>
      </c>
      <c r="W36" s="45">
        <f t="shared" si="19"/>
      </c>
      <c r="X36" s="39">
        <v>0</v>
      </c>
      <c r="Y36" s="45">
        <f t="shared" si="20"/>
      </c>
      <c r="Z36" s="43">
        <v>1946</v>
      </c>
      <c r="AA36" s="44">
        <f t="shared" si="21"/>
        <v>1.194597912829957</v>
      </c>
    </row>
    <row r="37" spans="1:27" ht="24" customHeight="1">
      <c r="A37" s="23" t="s">
        <v>40</v>
      </c>
      <c r="B37" s="39">
        <v>122</v>
      </c>
      <c r="C37" s="44">
        <f t="shared" si="10"/>
        <v>1.7183098591549295</v>
      </c>
      <c r="D37" s="46">
        <v>2</v>
      </c>
      <c r="E37" s="44">
        <f t="shared" si="11"/>
      </c>
      <c r="F37" s="42">
        <v>5</v>
      </c>
      <c r="G37" s="45">
        <f t="shared" si="12"/>
        <v>0.3333333333333333</v>
      </c>
      <c r="H37" s="42">
        <v>44</v>
      </c>
      <c r="I37" s="44">
        <f t="shared" si="22"/>
        <v>0.6376811594202898</v>
      </c>
      <c r="J37" s="39">
        <v>137</v>
      </c>
      <c r="K37" s="45">
        <f t="shared" si="13"/>
        <v>1.3564356435643565</v>
      </c>
      <c r="L37" s="39">
        <v>128</v>
      </c>
      <c r="M37" s="45">
        <f t="shared" si="14"/>
        <v>0.64</v>
      </c>
      <c r="N37" s="39">
        <v>245</v>
      </c>
      <c r="O37" s="45">
        <f t="shared" si="15"/>
        <v>1.467065868263473</v>
      </c>
      <c r="P37" s="39">
        <v>1120</v>
      </c>
      <c r="Q37" s="45">
        <f t="shared" si="16"/>
        <v>0.8484848484848485</v>
      </c>
      <c r="R37" s="39">
        <v>23</v>
      </c>
      <c r="S37" s="45">
        <f t="shared" si="17"/>
        <v>7.666666666666667</v>
      </c>
      <c r="T37" s="39">
        <v>0</v>
      </c>
      <c r="U37" s="45">
        <f t="shared" si="18"/>
      </c>
      <c r="V37" s="39">
        <v>0</v>
      </c>
      <c r="W37" s="45">
        <f t="shared" si="19"/>
      </c>
      <c r="X37" s="39">
        <v>36</v>
      </c>
      <c r="Y37" s="45">
        <f t="shared" si="20"/>
      </c>
      <c r="Z37" s="43">
        <v>1862</v>
      </c>
      <c r="AA37" s="44">
        <f t="shared" si="21"/>
        <v>0.9568345323741008</v>
      </c>
    </row>
    <row r="38" spans="1:27" ht="24" customHeight="1">
      <c r="A38" s="23" t="s">
        <v>41</v>
      </c>
      <c r="B38" s="39">
        <v>85</v>
      </c>
      <c r="C38" s="44">
        <f t="shared" si="10"/>
        <v>0.6967213114754098</v>
      </c>
      <c r="D38" s="46">
        <v>0</v>
      </c>
      <c r="E38" s="44">
        <f t="shared" si="11"/>
        <v>0</v>
      </c>
      <c r="F38" s="42">
        <v>13</v>
      </c>
      <c r="G38" s="44">
        <f t="shared" si="12"/>
        <v>2.6</v>
      </c>
      <c r="H38" s="42">
        <v>32</v>
      </c>
      <c r="I38" s="44">
        <f t="shared" si="22"/>
        <v>0.7272727272727273</v>
      </c>
      <c r="J38" s="39">
        <v>103</v>
      </c>
      <c r="K38" s="44">
        <f t="shared" si="13"/>
        <v>0.7518248175182481</v>
      </c>
      <c r="L38" s="39">
        <v>116</v>
      </c>
      <c r="M38" s="44">
        <f t="shared" si="14"/>
        <v>0.90625</v>
      </c>
      <c r="N38" s="39">
        <v>327</v>
      </c>
      <c r="O38" s="44">
        <f t="shared" si="15"/>
        <v>1.3346938775510204</v>
      </c>
      <c r="P38" s="39">
        <v>1123</v>
      </c>
      <c r="Q38" s="44">
        <f t="shared" si="16"/>
        <v>1.0026785714285715</v>
      </c>
      <c r="R38" s="39">
        <v>38</v>
      </c>
      <c r="S38" s="44">
        <f t="shared" si="17"/>
        <v>1.6521739130434783</v>
      </c>
      <c r="T38" s="39">
        <v>0</v>
      </c>
      <c r="U38" s="44">
        <f t="shared" si="18"/>
      </c>
      <c r="V38" s="39">
        <v>0</v>
      </c>
      <c r="W38" s="44">
        <f t="shared" si="19"/>
      </c>
      <c r="X38" s="39">
        <v>153</v>
      </c>
      <c r="Y38" s="44">
        <f t="shared" si="20"/>
        <v>4.25</v>
      </c>
      <c r="Z38" s="43">
        <v>1990</v>
      </c>
      <c r="AA38" s="44">
        <f t="shared" si="21"/>
        <v>1.0687432867883995</v>
      </c>
    </row>
    <row r="39" spans="1:27" s="50" customFormat="1" ht="24" customHeight="1">
      <c r="A39" s="60" t="s">
        <v>52</v>
      </c>
      <c r="B39" s="61">
        <v>38</v>
      </c>
      <c r="C39" s="62">
        <f t="shared" si="10"/>
        <v>0.4470588235294118</v>
      </c>
      <c r="D39" s="61">
        <v>1</v>
      </c>
      <c r="E39" s="62">
        <f t="shared" si="11"/>
      </c>
      <c r="F39" s="63">
        <v>3</v>
      </c>
      <c r="G39" s="62">
        <f t="shared" si="12"/>
        <v>0.23076923076923078</v>
      </c>
      <c r="H39" s="61">
        <v>18</v>
      </c>
      <c r="I39" s="62">
        <f t="shared" si="22"/>
        <v>0.5625</v>
      </c>
      <c r="J39" s="61">
        <v>97</v>
      </c>
      <c r="K39" s="62">
        <f t="shared" si="13"/>
        <v>0.941747572815534</v>
      </c>
      <c r="L39" s="61">
        <v>111</v>
      </c>
      <c r="M39" s="62">
        <f t="shared" si="14"/>
        <v>0.9568965517241379</v>
      </c>
      <c r="N39" s="61">
        <v>89</v>
      </c>
      <c r="O39" s="62">
        <f t="shared" si="15"/>
        <v>0.27217125382262997</v>
      </c>
      <c r="P39" s="61">
        <v>905</v>
      </c>
      <c r="Q39" s="62">
        <f t="shared" si="16"/>
        <v>0.8058771148708815</v>
      </c>
      <c r="R39" s="61">
        <v>25</v>
      </c>
      <c r="S39" s="62">
        <f t="shared" si="17"/>
        <v>0.6578947368421053</v>
      </c>
      <c r="T39" s="61">
        <v>0</v>
      </c>
      <c r="U39" s="62">
        <f t="shared" si="18"/>
      </c>
      <c r="V39" s="61">
        <v>0</v>
      </c>
      <c r="W39" s="62">
        <f t="shared" si="19"/>
      </c>
      <c r="X39" s="61">
        <v>6</v>
      </c>
      <c r="Y39" s="62">
        <f t="shared" si="20"/>
        <v>0.0392156862745098</v>
      </c>
      <c r="Z39" s="64">
        <v>1293</v>
      </c>
      <c r="AA39" s="62">
        <f t="shared" si="21"/>
        <v>0.6497487437185929</v>
      </c>
    </row>
    <row r="40" spans="1:27" ht="24" customHeight="1">
      <c r="A40" s="23" t="s">
        <v>81</v>
      </c>
      <c r="B40" s="39">
        <v>333</v>
      </c>
      <c r="C40" s="44">
        <f t="shared" si="10"/>
        <v>8.763157894736842</v>
      </c>
      <c r="D40" s="39">
        <v>1</v>
      </c>
      <c r="E40" s="44">
        <f t="shared" si="11"/>
        <v>1</v>
      </c>
      <c r="F40" s="42">
        <v>12</v>
      </c>
      <c r="G40" s="44">
        <f t="shared" si="12"/>
        <v>4</v>
      </c>
      <c r="H40" s="39">
        <v>25</v>
      </c>
      <c r="I40" s="44">
        <f t="shared" si="22"/>
        <v>1.3888888888888888</v>
      </c>
      <c r="J40" s="39">
        <v>123</v>
      </c>
      <c r="K40" s="44">
        <f t="shared" si="13"/>
        <v>1.268041237113402</v>
      </c>
      <c r="L40" s="39">
        <v>148</v>
      </c>
      <c r="M40" s="44">
        <f t="shared" si="14"/>
        <v>1.3333333333333333</v>
      </c>
      <c r="N40" s="39">
        <v>188</v>
      </c>
      <c r="O40" s="44">
        <f t="shared" si="15"/>
        <v>2.1123595505617976</v>
      </c>
      <c r="P40" s="39">
        <v>3007</v>
      </c>
      <c r="Q40" s="44">
        <f t="shared" si="16"/>
        <v>3.3226519337016573</v>
      </c>
      <c r="R40" s="39">
        <v>109</v>
      </c>
      <c r="S40" s="44">
        <f t="shared" si="17"/>
        <v>4.36</v>
      </c>
      <c r="T40" s="39">
        <v>2</v>
      </c>
      <c r="U40" s="44">
        <f t="shared" si="18"/>
      </c>
      <c r="V40" s="39">
        <v>4</v>
      </c>
      <c r="W40" s="44">
        <f t="shared" si="19"/>
      </c>
      <c r="X40" s="39">
        <v>95</v>
      </c>
      <c r="Y40" s="44">
        <f t="shared" si="20"/>
        <v>15.833333333333334</v>
      </c>
      <c r="Z40" s="43">
        <v>4047</v>
      </c>
      <c r="AA40" s="44">
        <f t="shared" si="21"/>
        <v>3.1299303944315544</v>
      </c>
    </row>
    <row r="41" spans="1:27" ht="24" customHeight="1">
      <c r="A41" s="23" t="s">
        <v>84</v>
      </c>
      <c r="B41" s="39">
        <v>89</v>
      </c>
      <c r="C41" s="44">
        <f t="shared" si="10"/>
        <v>0.2672672672672673</v>
      </c>
      <c r="D41" s="39">
        <v>3</v>
      </c>
      <c r="E41" s="44">
        <f t="shared" si="11"/>
        <v>3</v>
      </c>
      <c r="F41" s="42">
        <v>47</v>
      </c>
      <c r="G41" s="44">
        <f t="shared" si="12"/>
        <v>3.9166666666666665</v>
      </c>
      <c r="H41" s="39">
        <v>5</v>
      </c>
      <c r="I41" s="44">
        <f t="shared" si="22"/>
        <v>0.2</v>
      </c>
      <c r="J41" s="39">
        <v>113</v>
      </c>
      <c r="K41" s="44">
        <f t="shared" si="13"/>
        <v>0.9186991869918699</v>
      </c>
      <c r="L41" s="39">
        <v>194</v>
      </c>
      <c r="M41" s="44">
        <f t="shared" si="14"/>
        <v>1.3108108108108107</v>
      </c>
      <c r="N41" s="39">
        <v>160</v>
      </c>
      <c r="O41" s="44">
        <f t="shared" si="15"/>
        <v>0.851063829787234</v>
      </c>
      <c r="P41" s="39">
        <v>1478</v>
      </c>
      <c r="Q41" s="44">
        <f t="shared" si="16"/>
        <v>0.49151978716328565</v>
      </c>
      <c r="R41" s="39">
        <v>225</v>
      </c>
      <c r="S41" s="44">
        <f t="shared" si="17"/>
        <v>2.0642201834862384</v>
      </c>
      <c r="T41" s="39">
        <v>20</v>
      </c>
      <c r="U41" s="44">
        <f t="shared" si="18"/>
        <v>10</v>
      </c>
      <c r="V41" s="39">
        <v>35</v>
      </c>
      <c r="W41" s="44">
        <f t="shared" si="19"/>
        <v>8.75</v>
      </c>
      <c r="X41" s="39">
        <v>123</v>
      </c>
      <c r="Y41" s="44">
        <f t="shared" si="20"/>
        <v>1.2947368421052632</v>
      </c>
      <c r="Z41" s="43">
        <v>2502</v>
      </c>
      <c r="AA41" s="44">
        <f t="shared" si="21"/>
        <v>0.6182357301704967</v>
      </c>
    </row>
    <row r="42" spans="1:27" ht="24" customHeight="1">
      <c r="A42" s="23" t="s">
        <v>86</v>
      </c>
      <c r="B42" s="39">
        <v>88</v>
      </c>
      <c r="C42" s="44">
        <f>IF(B41=0,"",B42/B41)</f>
        <v>0.9887640449438202</v>
      </c>
      <c r="D42" s="39">
        <v>3</v>
      </c>
      <c r="E42" s="44">
        <f>IF(D41=0,"",D42/D41)</f>
        <v>1</v>
      </c>
      <c r="F42" s="42">
        <v>71</v>
      </c>
      <c r="G42" s="44">
        <f>IF(F41=0,"",F42/F41)</f>
        <v>1.5106382978723405</v>
      </c>
      <c r="H42" s="39">
        <v>0</v>
      </c>
      <c r="I42" s="44">
        <f>IF(H41=0,"",H42/H41)</f>
        <v>0</v>
      </c>
      <c r="J42" s="39">
        <v>213</v>
      </c>
      <c r="K42" s="44">
        <f>IF(J41=0,"",J42/J41)</f>
        <v>1.8849557522123894</v>
      </c>
      <c r="L42" s="39">
        <v>220</v>
      </c>
      <c r="M42" s="44">
        <f>IF(L41=0,"",L42/L41)</f>
        <v>1.134020618556701</v>
      </c>
      <c r="N42" s="39">
        <v>233</v>
      </c>
      <c r="O42" s="44">
        <f>IF(N41=0,"",N42/N41)</f>
        <v>1.45625</v>
      </c>
      <c r="P42" s="39">
        <v>1993</v>
      </c>
      <c r="Q42" s="44">
        <f>IF(P41=0,"",P42/P41)</f>
        <v>1.3484438430311232</v>
      </c>
      <c r="R42" s="39">
        <v>383</v>
      </c>
      <c r="S42" s="44">
        <f>IF(R41=0,"",R42/R41)</f>
        <v>1.7022222222222223</v>
      </c>
      <c r="T42" s="39">
        <v>18</v>
      </c>
      <c r="U42" s="44">
        <f>IF(T41=0,"",T42/T41)</f>
        <v>0.9</v>
      </c>
      <c r="V42" s="39">
        <v>33</v>
      </c>
      <c r="W42" s="44">
        <f>IF(V41=0,"",V42/V41)</f>
        <v>0.9428571428571428</v>
      </c>
      <c r="X42" s="39">
        <v>83</v>
      </c>
      <c r="Y42" s="44">
        <f>IF(X41=0,"",X42/X41)</f>
        <v>0.6747967479674797</v>
      </c>
      <c r="Z42" s="43">
        <v>3344</v>
      </c>
      <c r="AA42" s="44">
        <f>IF(Z41=0,"",Z42/Z41)</f>
        <v>1.3365307753796962</v>
      </c>
    </row>
    <row r="43" spans="1:27" ht="24" customHeight="1">
      <c r="A43" s="23" t="s">
        <v>100</v>
      </c>
      <c r="B43" s="39">
        <v>83</v>
      </c>
      <c r="C43" s="44">
        <f>IF(B42=0,"",B43/B42)</f>
        <v>0.9431818181818182</v>
      </c>
      <c r="D43" s="39">
        <v>8</v>
      </c>
      <c r="E43" s="44">
        <f>IF(D42=0,"",D43/D42)</f>
        <v>2.6666666666666665</v>
      </c>
      <c r="F43" s="42">
        <v>269</v>
      </c>
      <c r="G43" s="44">
        <f>IF(F42=0,"",F43/F42)</f>
        <v>3.788732394366197</v>
      </c>
      <c r="H43" s="39">
        <v>2</v>
      </c>
      <c r="I43" s="44">
        <f>IF(H42=0,"",H43/H42)</f>
      </c>
      <c r="J43" s="39">
        <v>230</v>
      </c>
      <c r="K43" s="44">
        <f>IF(J42=0,"",J43/J42)</f>
        <v>1.07981220657277</v>
      </c>
      <c r="L43" s="39">
        <v>247</v>
      </c>
      <c r="M43" s="44">
        <f>IF(L42=0,"",L43/L42)</f>
        <v>1.1227272727272728</v>
      </c>
      <c r="N43" s="39">
        <v>362</v>
      </c>
      <c r="O43" s="44">
        <f>IF(N42=0,"",N43/N42)</f>
        <v>1.553648068669528</v>
      </c>
      <c r="P43" s="39">
        <v>2728</v>
      </c>
      <c r="Q43" s="44">
        <f>IF(P42=0,"",P43/P42)</f>
        <v>1.3687907676869042</v>
      </c>
      <c r="R43" s="39">
        <v>673</v>
      </c>
      <c r="S43" s="44">
        <f>IF(R42=0,"",R43/R42)</f>
        <v>1.7571801566579635</v>
      </c>
      <c r="T43" s="39">
        <v>21</v>
      </c>
      <c r="U43" s="44">
        <f>IF(T42=0,"",T43/T42)</f>
        <v>1.1666666666666667</v>
      </c>
      <c r="V43" s="39">
        <v>65</v>
      </c>
      <c r="W43" s="44">
        <f>IF(V42=0,"",V43/V42)</f>
        <v>1.9696969696969697</v>
      </c>
      <c r="X43" s="39">
        <v>239</v>
      </c>
      <c r="Y43" s="44">
        <f>IF(X42=0,"",X43/X42)</f>
        <v>2.8795180722891565</v>
      </c>
      <c r="Z43" s="43">
        <v>4943</v>
      </c>
      <c r="AA43" s="44">
        <f>IF(Z42=0,"",Z43/Z42)</f>
        <v>1.4781698564593302</v>
      </c>
    </row>
  </sheetData>
  <sheetProtection/>
  <mergeCells count="24">
    <mergeCell ref="N25:O25"/>
    <mergeCell ref="P25:Q25"/>
    <mergeCell ref="R25:S25"/>
    <mergeCell ref="X25:Y25"/>
    <mergeCell ref="P3:Q3"/>
    <mergeCell ref="R3:S3"/>
    <mergeCell ref="T3:U3"/>
    <mergeCell ref="N3:O3"/>
    <mergeCell ref="A25:A26"/>
    <mergeCell ref="B25:C25"/>
    <mergeCell ref="D25:E25"/>
    <mergeCell ref="F25:G25"/>
    <mergeCell ref="H25:I25"/>
    <mergeCell ref="J25:K25"/>
    <mergeCell ref="L25:M25"/>
    <mergeCell ref="V25:W25"/>
    <mergeCell ref="T25:U25"/>
    <mergeCell ref="A3:A4"/>
    <mergeCell ref="B3:C3"/>
    <mergeCell ref="D3:E3"/>
    <mergeCell ref="F3:G3"/>
    <mergeCell ref="H3:I3"/>
    <mergeCell ref="J3:K3"/>
    <mergeCell ref="L3:M3"/>
  </mergeCells>
  <printOptions horizontalCentered="1" verticalCentered="1"/>
  <pageMargins left="0.53" right="0" top="0.3937007874015748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2012-02-06T06:09:17Z</cp:lastPrinted>
  <dcterms:created xsi:type="dcterms:W3CDTF">2000-01-27T01:50:33Z</dcterms:created>
  <dcterms:modified xsi:type="dcterms:W3CDTF">2012-12-07T10:56:44Z</dcterms:modified>
  <cp:category/>
  <cp:version/>
  <cp:contentType/>
  <cp:contentStatus/>
</cp:coreProperties>
</file>