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幼(3)市郡別園数・園児数・就園率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<sst xmlns="http://schemas.openxmlformats.org/spreadsheetml/2006/main" count="71" uniqueCount="47">
  <si>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（３）市郡別幼稚園数・園児数・就園率（平成１７年５月１日現在）</t>
  </si>
  <si>
    <t>（単位：園、％、人）</t>
  </si>
  <si>
    <t>　区分　　　　　市郡別</t>
  </si>
  <si>
    <t>幼稚園</t>
  </si>
  <si>
    <t>保育所　　　実員</t>
  </si>
  <si>
    <t>就園率Ｂ（％）</t>
  </si>
  <si>
    <t>私立</t>
  </si>
  <si>
    <t>国・公立</t>
  </si>
  <si>
    <t>就園率A（％）</t>
  </si>
  <si>
    <t>3歳児</t>
  </si>
  <si>
    <t>４・５歳児</t>
  </si>
  <si>
    <t>園数</t>
  </si>
  <si>
    <t>国公・私比率</t>
  </si>
  <si>
    <t>園児数</t>
  </si>
  <si>
    <t>３歳児</t>
  </si>
  <si>
    <t>４歳児</t>
  </si>
  <si>
    <t>５歳児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</si>
  <si>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</si>
  <si>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</si>
  <si>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</si>
  <si>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</si>
  <si>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</si>
  <si>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</si>
  <si>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</si>
  <si>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</si>
  <si>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</si>
  <si>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</si>
  <si>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－</t>
  </si>
  <si>
    <t>安中市</t>
  </si>
  <si>
    <t>市計</t>
  </si>
  <si>
    <t>勢多郡</t>
  </si>
  <si>
    <t>群馬・　北群馬郡</t>
  </si>
  <si>
    <t>多野郡</t>
  </si>
  <si>
    <t>甘楽郡</t>
  </si>
  <si>
    <t>碓氷郡</t>
  </si>
  <si>
    <t>-</t>
  </si>
  <si>
    <t>吾妻　・利根郡</t>
  </si>
  <si>
    <t>佐波郡</t>
  </si>
  <si>
    <t>新田　・　山田郡</t>
  </si>
  <si>
    <t>邑楽郡</t>
  </si>
  <si>
    <t>郡計</t>
  </si>
  <si>
    <t>県計</t>
  </si>
  <si>
    <t>（注）・就園率Ａ＝（国・公・私立幼稚園の実員／幼児の人口）×100</t>
  </si>
  <si>
    <t>　　　・就園率Ｂ＝（（国・公・私立幼稚園の実員＋保育所の実員（3～5歳））／幼児の人口）×100</t>
  </si>
  <si>
    <t>　　　・市郡界を越える入園者、無許可施設の幼児数は考慮していません。</t>
  </si>
  <si>
    <t>　　  ・保育所実員は、３～４歳児の合計です。</t>
  </si>
  <si>
    <t>　　　・園児数欄の（　）内の数字は、満３歳児を内書きしたものです。就園率の３歳児には含みません。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</si>
</sst>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_);[Red]\(#,##0\)"/>
  </numFmts>
  <fonts count="6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2" borderId="1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2" borderId="4" xfId="0" applyFont="1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horizontal="distributed" vertical="center"/>
      <protection locked="0"/>
    </xf>
    <xf numFmtId="176" fontId="0" fillId="0" borderId="6" xfId="0" applyNumberFormat="1" applyFont="1" applyBorder="1" applyAlignment="1" applyProtection="1">
      <alignment vertical="center"/>
      <protection locked="0"/>
    </xf>
    <xf numFmtId="177" fontId="0" fillId="0" borderId="7" xfId="0" applyNumberFormat="1" applyFont="1" applyBorder="1" applyAlignment="1" applyProtection="1">
      <alignment vertical="center"/>
      <protection locked="0"/>
    </xf>
    <xf numFmtId="178" fontId="0" fillId="0" borderId="6" xfId="0" applyNumberFormat="1" applyFont="1" applyBorder="1" applyAlignment="1" applyProtection="1">
      <alignment horizontal="right"/>
      <protection locked="0"/>
    </xf>
    <xf numFmtId="179" fontId="0" fillId="0" borderId="8" xfId="0" applyNumberFormat="1" applyFont="1" applyBorder="1" applyAlignment="1" applyProtection="1">
      <alignment horizontal="right"/>
      <protection locked="0"/>
    </xf>
    <xf numFmtId="176" fontId="0" fillId="0" borderId="8" xfId="0" applyNumberFormat="1" applyFont="1" applyBorder="1" applyAlignment="1" applyProtection="1">
      <alignment horizontal="right"/>
      <protection locked="0"/>
    </xf>
    <xf numFmtId="177" fontId="0" fillId="0" borderId="9" xfId="0" applyNumberFormat="1" applyFont="1" applyBorder="1" applyAlignment="1" applyProtection="1">
      <alignment vertical="center"/>
      <protection locked="0"/>
    </xf>
    <xf numFmtId="177" fontId="0" fillId="0" borderId="10" xfId="0" applyNumberFormat="1" applyFont="1" applyBorder="1" applyAlignment="1" applyProtection="1">
      <alignment vertical="center"/>
      <protection locked="0"/>
    </xf>
    <xf numFmtId="176" fontId="0" fillId="0" borderId="11" xfId="0" applyNumberFormat="1" applyFont="1" applyBorder="1" applyAlignment="1" applyProtection="1">
      <alignment vertical="center"/>
      <protection locked="0"/>
    </xf>
    <xf numFmtId="177" fontId="0" fillId="0" borderId="6" xfId="0" applyNumberFormat="1" applyFont="1" applyBorder="1" applyAlignment="1" applyProtection="1">
      <alignment vertical="center"/>
      <protection locked="0"/>
    </xf>
    <xf numFmtId="177" fontId="0" fillId="0" borderId="12" xfId="0" applyNumberFormat="1" applyFont="1" applyBorder="1" applyAlignment="1" applyProtection="1">
      <alignment vertical="center"/>
      <protection locked="0"/>
    </xf>
    <xf numFmtId="177" fontId="0" fillId="0" borderId="13" xfId="0" applyNumberFormat="1" applyFont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horizontal="distributed" vertical="center"/>
      <protection locked="0"/>
    </xf>
    <xf numFmtId="176" fontId="0" fillId="0" borderId="6" xfId="0" applyNumberFormat="1" applyFont="1" applyBorder="1" applyAlignment="1" applyProtection="1">
      <alignment horizontal="right"/>
      <protection locked="0"/>
    </xf>
    <xf numFmtId="177" fontId="0" fillId="0" borderId="7" xfId="0" applyNumberFormat="1" applyFont="1" applyBorder="1" applyAlignment="1" applyProtection="1">
      <alignment horizontal="right"/>
      <protection locked="0"/>
    </xf>
    <xf numFmtId="0" fontId="0" fillId="3" borderId="14" xfId="0" applyFont="1" applyFill="1" applyBorder="1" applyAlignment="1" applyProtection="1">
      <alignment horizontal="distributed" vertical="center"/>
      <protection locked="0"/>
    </xf>
    <xf numFmtId="176" fontId="0" fillId="0" borderId="15" xfId="0" applyNumberFormat="1" applyFont="1" applyBorder="1" applyAlignment="1" applyProtection="1">
      <alignment vertical="center"/>
      <protection locked="0"/>
    </xf>
    <xf numFmtId="177" fontId="0" fillId="0" borderId="16" xfId="0" applyNumberFormat="1" applyFont="1" applyBorder="1" applyAlignment="1" applyProtection="1">
      <alignment vertical="center"/>
      <protection locked="0"/>
    </xf>
    <xf numFmtId="178" fontId="0" fillId="0" borderId="15" xfId="0" applyNumberFormat="1" applyFont="1" applyBorder="1" applyAlignment="1" applyProtection="1">
      <alignment horizontal="right"/>
      <protection locked="0"/>
    </xf>
    <xf numFmtId="176" fontId="0" fillId="0" borderId="17" xfId="0" applyNumberFormat="1" applyFont="1" applyBorder="1" applyAlignment="1" applyProtection="1">
      <alignment vertical="center"/>
      <protection locked="0"/>
    </xf>
    <xf numFmtId="176" fontId="0" fillId="0" borderId="18" xfId="0" applyNumberFormat="1" applyFont="1" applyBorder="1" applyAlignment="1" applyProtection="1">
      <alignment vertical="center"/>
      <protection locked="0"/>
    </xf>
    <xf numFmtId="177" fontId="0" fillId="0" borderId="15" xfId="0" applyNumberFormat="1" applyFont="1" applyBorder="1" applyAlignment="1" applyProtection="1">
      <alignment vertical="center"/>
      <protection locked="0"/>
    </xf>
    <xf numFmtId="177" fontId="0" fillId="0" borderId="19" xfId="0" applyNumberFormat="1" applyFont="1" applyBorder="1" applyAlignment="1" applyProtection="1">
      <alignment vertical="center"/>
      <protection locked="0"/>
    </xf>
    <xf numFmtId="177" fontId="0" fillId="0" borderId="20" xfId="0" applyNumberFormat="1" applyFont="1" applyBorder="1" applyAlignment="1" applyProtection="1">
      <alignment vertical="center"/>
      <protection locked="0"/>
    </xf>
    <xf numFmtId="176" fontId="0" fillId="0" borderId="21" xfId="0" applyNumberFormat="1" applyFont="1" applyBorder="1" applyAlignment="1" applyProtection="1">
      <alignment vertical="center"/>
      <protection locked="0"/>
    </xf>
    <xf numFmtId="177" fontId="0" fillId="0" borderId="22" xfId="0" applyNumberFormat="1" applyFont="1" applyBorder="1" applyAlignment="1" applyProtection="1">
      <alignment vertical="center"/>
      <protection locked="0"/>
    </xf>
    <xf numFmtId="0" fontId="0" fillId="3" borderId="23" xfId="0" applyFont="1" applyFill="1" applyBorder="1" applyAlignment="1" applyProtection="1">
      <alignment horizontal="distributed" vertical="center"/>
      <protection locked="0"/>
    </xf>
    <xf numFmtId="176" fontId="0" fillId="0" borderId="24" xfId="0" applyNumberFormat="1" applyFont="1" applyBorder="1" applyAlignment="1" applyProtection="1">
      <alignment vertical="center"/>
      <protection locked="0"/>
    </xf>
    <xf numFmtId="177" fontId="0" fillId="0" borderId="25" xfId="0" applyNumberFormat="1" applyFont="1" applyBorder="1" applyAlignment="1" applyProtection="1">
      <alignment vertical="center"/>
      <protection locked="0"/>
    </xf>
    <xf numFmtId="178" fontId="0" fillId="0" borderId="24" xfId="0" applyNumberFormat="1" applyFont="1" applyBorder="1" applyAlignment="1" applyProtection="1">
      <alignment horizontal="right"/>
      <protection locked="0"/>
    </xf>
    <xf numFmtId="179" fontId="0" fillId="0" borderId="26" xfId="0" applyNumberFormat="1" applyFont="1" applyBorder="1" applyAlignment="1" applyProtection="1">
      <alignment horizontal="right"/>
      <protection locked="0"/>
    </xf>
    <xf numFmtId="176" fontId="0" fillId="0" borderId="26" xfId="0" applyNumberFormat="1" applyFont="1" applyBorder="1" applyAlignment="1" applyProtection="1">
      <alignment horizontal="right"/>
      <protection locked="0"/>
    </xf>
    <xf numFmtId="177" fontId="0" fillId="0" borderId="24" xfId="0" applyNumberFormat="1" applyFont="1" applyBorder="1" applyAlignment="1" applyProtection="1">
      <alignment vertical="center"/>
      <protection locked="0"/>
    </xf>
    <xf numFmtId="177" fontId="0" fillId="0" borderId="27" xfId="0" applyNumberFormat="1" applyFont="1" applyBorder="1" applyAlignment="1" applyProtection="1">
      <alignment vertical="center"/>
      <protection locked="0"/>
    </xf>
    <xf numFmtId="177" fontId="0" fillId="0" borderId="28" xfId="0" applyNumberFormat="1" applyFont="1" applyBorder="1" applyAlignment="1" applyProtection="1">
      <alignment vertical="center"/>
      <protection locked="0"/>
    </xf>
    <xf numFmtId="176" fontId="0" fillId="0" borderId="29" xfId="0" applyNumberFormat="1" applyFont="1" applyBorder="1" applyAlignment="1" applyProtection="1">
      <alignment vertical="center"/>
      <protection locked="0"/>
    </xf>
    <xf numFmtId="177" fontId="0" fillId="0" borderId="30" xfId="0" applyNumberFormat="1" applyFont="1" applyBorder="1" applyAlignment="1" applyProtection="1">
      <alignment vertical="center"/>
      <protection locked="0"/>
    </xf>
    <xf numFmtId="176" fontId="0" fillId="0" borderId="7" xfId="0" applyNumberFormat="1" applyFont="1" applyBorder="1" applyAlignment="1" applyProtection="1">
      <alignment horizontal="right"/>
      <protection locked="0"/>
    </xf>
    <xf numFmtId="177" fontId="0" fillId="0" borderId="6" xfId="0" applyNumberFormat="1" applyFont="1" applyBorder="1" applyAlignment="1" applyProtection="1">
      <alignment horizontal="right"/>
      <protection locked="0"/>
    </xf>
    <xf numFmtId="177" fontId="0" fillId="0" borderId="10" xfId="0" applyNumberFormat="1" applyFont="1" applyBorder="1" applyAlignment="1" applyProtection="1">
      <alignment horizontal="right"/>
      <protection locked="0"/>
    </xf>
    <xf numFmtId="177" fontId="0" fillId="0" borderId="13" xfId="0" applyNumberFormat="1" applyFont="1" applyBorder="1" applyAlignment="1" applyProtection="1">
      <alignment horizontal="right"/>
      <protection locked="0"/>
    </xf>
    <xf numFmtId="176" fontId="0" fillId="0" borderId="17" xfId="0" applyNumberFormat="1" applyFont="1" applyBorder="1" applyAlignment="1" applyProtection="1">
      <alignment horizontal="right"/>
      <protection locked="0"/>
    </xf>
    <xf numFmtId="0" fontId="0" fillId="3" borderId="31" xfId="0" applyFont="1" applyFill="1" applyBorder="1" applyAlignment="1" applyProtection="1">
      <alignment horizontal="distributed" vertical="center"/>
      <protection locked="0"/>
    </xf>
    <xf numFmtId="176" fontId="0" fillId="0" borderId="32" xfId="0" applyNumberFormat="1" applyFont="1" applyBorder="1" applyAlignment="1" applyProtection="1">
      <alignment vertical="center"/>
      <protection locked="0"/>
    </xf>
    <xf numFmtId="177" fontId="0" fillId="0" borderId="33" xfId="0" applyNumberFormat="1" applyFont="1" applyBorder="1" applyAlignment="1" applyProtection="1">
      <alignment vertical="center"/>
      <protection locked="0"/>
    </xf>
    <xf numFmtId="178" fontId="0" fillId="0" borderId="32" xfId="0" applyNumberFormat="1" applyFont="1" applyBorder="1" applyAlignment="1" applyProtection="1">
      <alignment horizontal="right"/>
      <protection locked="0"/>
    </xf>
    <xf numFmtId="176" fontId="0" fillId="0" borderId="34" xfId="0" applyNumberFormat="1" applyFont="1" applyBorder="1" applyAlignment="1" applyProtection="1">
      <alignment vertical="center"/>
      <protection locked="0"/>
    </xf>
    <xf numFmtId="176" fontId="0" fillId="0" borderId="32" xfId="0" applyNumberFormat="1" applyFont="1" applyBorder="1" applyAlignment="1" applyProtection="1">
      <alignment horizontal="right"/>
      <protection locked="0"/>
    </xf>
    <xf numFmtId="177" fontId="0" fillId="0" borderId="32" xfId="0" applyNumberFormat="1" applyFont="1" applyBorder="1" applyAlignment="1" applyProtection="1">
      <alignment vertical="center"/>
      <protection locked="0"/>
    </xf>
    <xf numFmtId="177" fontId="0" fillId="0" borderId="35" xfId="0" applyNumberFormat="1" applyFont="1" applyBorder="1" applyAlignment="1" applyProtection="1">
      <alignment vertical="center"/>
      <protection locked="0"/>
    </xf>
    <xf numFmtId="177" fontId="0" fillId="0" borderId="36" xfId="0" applyNumberFormat="1" applyFont="1" applyBorder="1" applyAlignment="1" applyProtection="1">
      <alignment vertical="center"/>
      <protection locked="0"/>
    </xf>
    <xf numFmtId="176" fontId="0" fillId="0" borderId="37" xfId="0" applyNumberFormat="1" applyFont="1" applyBorder="1" applyAlignment="1" applyProtection="1">
      <alignment vertical="center"/>
      <protection locked="0"/>
    </xf>
    <xf numFmtId="177" fontId="0" fillId="0" borderId="38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39" xfId="0" applyFont="1" applyFill="1" applyBorder="1" applyAlignment="1" applyProtection="1">
      <alignment horizontal="justify" vertical="justify" wrapText="1"/>
      <protection locked="0"/>
    </xf>
    <xf numFmtId="0" fontId="0" fillId="2" borderId="5" xfId="0" applyFont="1" applyFill="1" applyBorder="1" applyAlignment="1">
      <alignment horizontal="justify" vertical="justify" wrapText="1"/>
    </xf>
    <xf numFmtId="0" fontId="0" fillId="2" borderId="40" xfId="0" applyFont="1" applyFill="1" applyBorder="1" applyAlignment="1">
      <alignment horizontal="distributed" vertical="center"/>
    </xf>
    <xf numFmtId="0" fontId="0" fillId="2" borderId="11" xfId="0" applyFont="1" applyFill="1" applyBorder="1" applyAlignment="1">
      <alignment horizontal="distributed" vertical="center"/>
    </xf>
    <xf numFmtId="0" fontId="0" fillId="2" borderId="40" xfId="0" applyFont="1" applyFill="1" applyBorder="1" applyAlignment="1" applyProtection="1">
      <alignment horizontal="distributed" vertical="center" wrapText="1"/>
      <protection locked="0"/>
    </xf>
    <xf numFmtId="0" fontId="0" fillId="2" borderId="11" xfId="0" applyFont="1" applyFill="1" applyBorder="1" applyAlignment="1">
      <alignment horizontal="distributed" vertical="center" wrapText="1"/>
    </xf>
    <xf numFmtId="0" fontId="0" fillId="2" borderId="11" xfId="0" applyFont="1" applyFill="1" applyBorder="1" applyAlignment="1">
      <alignment horizontal="distributed" vertical="center" wrapText="1"/>
    </xf>
    <xf numFmtId="0" fontId="0" fillId="2" borderId="40" xfId="0" applyFont="1" applyFill="1" applyBorder="1" applyAlignment="1" applyProtection="1">
      <alignment horizontal="distributed" vertical="center"/>
      <protection locked="0"/>
    </xf>
    <xf numFmtId="0" fontId="0" fillId="2" borderId="41" xfId="0" applyFont="1" applyFill="1" applyBorder="1" applyAlignment="1">
      <alignment horizontal="distributed" vertical="center"/>
    </xf>
    <xf numFmtId="0" fontId="0" fillId="2" borderId="42" xfId="0" applyFont="1" applyFill="1" applyBorder="1" applyAlignment="1">
      <alignment horizontal="distributed" vertical="center"/>
    </xf>
    <xf numFmtId="0" fontId="0" fillId="2" borderId="43" xfId="0" applyFont="1" applyFill="1" applyBorder="1" applyAlignment="1" applyProtection="1">
      <alignment horizontal="distributed" vertical="center"/>
      <protection locked="0"/>
    </xf>
    <xf numFmtId="0" fontId="0" fillId="2" borderId="43" xfId="0" applyFont="1" applyFill="1" applyBorder="1" applyAlignment="1">
      <alignment horizontal="distributed" vertical="center"/>
    </xf>
    <xf numFmtId="0" fontId="0" fillId="2" borderId="6" xfId="0" applyFont="1" applyFill="1" applyBorder="1" applyAlignment="1" applyProtection="1">
      <alignment horizontal="distributed" vertical="center"/>
      <protection locked="0"/>
    </xf>
    <xf numFmtId="0" fontId="0" fillId="2" borderId="6" xfId="0" applyFont="1" applyFill="1" applyBorder="1" applyAlignment="1">
      <alignment horizontal="distributed" vertical="center"/>
    </xf>
    <xf numFmtId="0" fontId="0" fillId="2" borderId="12" xfId="0" applyFont="1" applyFill="1" applyBorder="1" applyAlignment="1" applyProtection="1">
      <alignment horizontal="distributed" vertical="center" wrapText="1"/>
      <protection locked="0"/>
    </xf>
    <xf numFmtId="0" fontId="0" fillId="2" borderId="12" xfId="0" applyFont="1" applyFill="1" applyBorder="1" applyAlignment="1">
      <alignment horizontal="distributed" vertical="center" wrapText="1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44" xfId="0" applyFont="1" applyFill="1" applyBorder="1" applyAlignment="1" applyProtection="1">
      <alignment horizontal="center"/>
      <protection locked="0"/>
    </xf>
    <xf numFmtId="0" fontId="0" fillId="2" borderId="44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selection activeCell="A3" sqref="A3:A6"/>
    </sheetView>
  </sheetViews>
  <sheetFormatPr defaultColWidth="9.00390625" defaultRowHeight="13.5"/>
  <cols>
    <col min="1" max="3" width="8.375" style="0" customWidth="1"/>
    <col min="4" max="4" width="3.875" style="0" customWidth="1"/>
    <col min="5" max="5" width="3.875" style="0" hidden="1" customWidth="1"/>
    <col min="6" max="6" width="6.625" style="0" hidden="1" customWidth="1"/>
    <col min="7" max="7" width="6.625" style="0" customWidth="1"/>
    <col min="8" max="18" width="8.375" style="0" customWidth="1"/>
  </cols>
  <sheetData>
    <row r="1" spans="1:18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</row>
    <row r="2" spans="1:18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 t="s">
        <v>1</v>
      </c>
    </row>
    <row r="3" spans="1:19" ht="13.5">
      <c r="A3" s="68" t="s">
        <v>2</v>
      </c>
      <c r="B3" s="70" t="s">
        <v>3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2" t="s">
        <v>4</v>
      </c>
      <c r="Q3" s="75" t="s">
        <v>5</v>
      </c>
      <c r="R3" s="76"/>
      <c r="S3" s="5"/>
    </row>
    <row r="4" spans="1:19" ht="13.5" customHeight="1">
      <c r="A4" s="69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3"/>
      <c r="Q4" s="71"/>
      <c r="R4" s="77"/>
      <c r="S4" s="6"/>
    </row>
    <row r="5" spans="1:18" ht="13.5">
      <c r="A5" s="69"/>
      <c r="B5" s="78" t="s">
        <v>6</v>
      </c>
      <c r="C5" s="79"/>
      <c r="D5" s="79"/>
      <c r="E5" s="79"/>
      <c r="F5" s="79"/>
      <c r="G5" s="79"/>
      <c r="H5" s="79"/>
      <c r="I5" s="78" t="s">
        <v>7</v>
      </c>
      <c r="J5" s="79"/>
      <c r="K5" s="79"/>
      <c r="L5" s="79"/>
      <c r="M5" s="78" t="s">
        <v>8</v>
      </c>
      <c r="N5" s="79"/>
      <c r="O5" s="79"/>
      <c r="P5" s="73"/>
      <c r="Q5" s="80" t="s">
        <v>9</v>
      </c>
      <c r="R5" s="82" t="s">
        <v>10</v>
      </c>
    </row>
    <row r="6" spans="1:18" ht="13.5">
      <c r="A6" s="69"/>
      <c r="B6" s="7" t="s">
        <v>11</v>
      </c>
      <c r="C6" s="8" t="s">
        <v>12</v>
      </c>
      <c r="D6" s="84" t="s">
        <v>13</v>
      </c>
      <c r="E6" s="85"/>
      <c r="F6" s="86"/>
      <c r="G6" s="87"/>
      <c r="H6" s="8" t="s">
        <v>12</v>
      </c>
      <c r="I6" s="7" t="s">
        <v>11</v>
      </c>
      <c r="J6" s="8" t="s">
        <v>12</v>
      </c>
      <c r="K6" s="7" t="s">
        <v>13</v>
      </c>
      <c r="L6" s="8" t="s">
        <v>12</v>
      </c>
      <c r="M6" s="7" t="s">
        <v>14</v>
      </c>
      <c r="N6" s="9" t="s">
        <v>15</v>
      </c>
      <c r="O6" s="10" t="s">
        <v>16</v>
      </c>
      <c r="P6" s="74"/>
      <c r="Q6" s="81"/>
      <c r="R6" s="83"/>
    </row>
    <row r="7" spans="1:18" ht="26.25" customHeight="1">
      <c r="A7" s="11" t="s">
        <v>17</v>
      </c>
      <c r="B7" s="12">
        <v>33</v>
      </c>
      <c r="C7" s="13">
        <f>(100/38)*B7</f>
        <v>86.8421052631579</v>
      </c>
      <c r="D7" s="14">
        <v>-10</v>
      </c>
      <c r="E7" s="15"/>
      <c r="F7" s="16"/>
      <c r="G7" s="16">
        <v>4669</v>
      </c>
      <c r="H7" s="13">
        <f>(100/5482)*4669</f>
        <v>85.16964611455673</v>
      </c>
      <c r="I7" s="12">
        <v>5</v>
      </c>
      <c r="J7" s="13">
        <f>(100/38)*I7</f>
        <v>13.157894736842106</v>
      </c>
      <c r="K7" s="12">
        <v>813</v>
      </c>
      <c r="L7" s="13">
        <f>100-H7</f>
        <v>14.830353885443273</v>
      </c>
      <c r="M7" s="17">
        <f>(1733/3084)*100</f>
        <v>56.19325551232166</v>
      </c>
      <c r="N7" s="18">
        <f>(1848/3121)*100</f>
        <v>59.21179109259853</v>
      </c>
      <c r="O7" s="13">
        <f>(1901/3000)*100</f>
        <v>63.366666666666674</v>
      </c>
      <c r="P7" s="19">
        <v>3951</v>
      </c>
      <c r="Q7" s="20">
        <v>99</v>
      </c>
      <c r="R7" s="21">
        <v>104.2</v>
      </c>
    </row>
    <row r="8" spans="1:18" ht="26.25" customHeight="1">
      <c r="A8" s="11" t="s">
        <v>18</v>
      </c>
      <c r="B8" s="12">
        <v>19</v>
      </c>
      <c r="C8" s="13">
        <f>(100/23)*B8</f>
        <v>82.6086956521739</v>
      </c>
      <c r="D8" s="14">
        <v>-6</v>
      </c>
      <c r="E8" s="15"/>
      <c r="F8" s="16"/>
      <c r="G8" s="16">
        <v>3211</v>
      </c>
      <c r="H8" s="13">
        <f>(100/3466)*3211</f>
        <v>92.64281592613965</v>
      </c>
      <c r="I8" s="12">
        <v>4</v>
      </c>
      <c r="J8" s="13">
        <f>(100/23)*I8</f>
        <v>17.391304347826086</v>
      </c>
      <c r="K8" s="12">
        <v>433</v>
      </c>
      <c r="L8" s="13">
        <f>100-H8</f>
        <v>7.357184073860353</v>
      </c>
      <c r="M8" s="20">
        <f>(1149/2520)*100</f>
        <v>45.595238095238095</v>
      </c>
      <c r="N8" s="18">
        <f>(1237/2385)*100</f>
        <v>51.865828092243184</v>
      </c>
      <c r="O8" s="22">
        <f>(1258/2395)*100</f>
        <v>52.52609603340292</v>
      </c>
      <c r="P8" s="19">
        <v>3611</v>
      </c>
      <c r="Q8" s="20">
        <v>92.8</v>
      </c>
      <c r="R8" s="21">
        <v>102.8</v>
      </c>
    </row>
    <row r="9" spans="1:18" ht="26.25" customHeight="1">
      <c r="A9" s="11" t="s">
        <v>19</v>
      </c>
      <c r="B9" s="12">
        <v>2</v>
      </c>
      <c r="C9" s="13">
        <f>(100/16)*B9</f>
        <v>12.5</v>
      </c>
      <c r="D9" s="14">
        <v>-2</v>
      </c>
      <c r="E9" s="15"/>
      <c r="F9" s="16"/>
      <c r="G9" s="16">
        <v>182</v>
      </c>
      <c r="H9" s="13">
        <f>(100/639)*182</f>
        <v>28.482003129890455</v>
      </c>
      <c r="I9" s="12">
        <v>14</v>
      </c>
      <c r="J9" s="13">
        <f>(100/16)*14</f>
        <v>87.5</v>
      </c>
      <c r="K9" s="12">
        <v>457</v>
      </c>
      <c r="L9" s="13">
        <f aca="true" t="shared" si="0" ref="L9:L29">100-H9</f>
        <v>71.51799687010954</v>
      </c>
      <c r="M9" s="20">
        <f>(59/1028)*100</f>
        <v>5.739299610894942</v>
      </c>
      <c r="N9" s="18">
        <f>(270/1236)*100</f>
        <v>21.844660194174757</v>
      </c>
      <c r="O9" s="22">
        <f>(310/1099)*100</f>
        <v>28.207461328480438</v>
      </c>
      <c r="P9" s="19">
        <v>1906</v>
      </c>
      <c r="Q9" s="20">
        <v>80.6</v>
      </c>
      <c r="R9" s="21">
        <v>95.2</v>
      </c>
    </row>
    <row r="10" spans="1:18" ht="26.25" customHeight="1">
      <c r="A10" s="23" t="s">
        <v>20</v>
      </c>
      <c r="B10" s="12">
        <v>6</v>
      </c>
      <c r="C10" s="13">
        <f>(100/16)*6</f>
        <v>37.5</v>
      </c>
      <c r="D10" s="14">
        <v>-4</v>
      </c>
      <c r="E10" s="15"/>
      <c r="F10" s="16"/>
      <c r="G10" s="16">
        <v>1188</v>
      </c>
      <c r="H10" s="13">
        <f>(100/1931)*1188</f>
        <v>61.522527187985496</v>
      </c>
      <c r="I10" s="12">
        <v>10</v>
      </c>
      <c r="J10" s="13">
        <f>(100/16)*10</f>
        <v>62.5</v>
      </c>
      <c r="K10" s="12">
        <v>743</v>
      </c>
      <c r="L10" s="13">
        <f t="shared" si="0"/>
        <v>38.477472812014504</v>
      </c>
      <c r="M10" s="20">
        <f>(418/2285)*100</f>
        <v>18.293216630196937</v>
      </c>
      <c r="N10" s="18">
        <f>(699/2321)*100</f>
        <v>30.11632916846187</v>
      </c>
      <c r="O10" s="22">
        <f>(814/2249)*100</f>
        <v>36.19386393952868</v>
      </c>
      <c r="P10" s="19">
        <v>3737</v>
      </c>
      <c r="Q10" s="20">
        <v>74.4</v>
      </c>
      <c r="R10" s="21">
        <v>86.8</v>
      </c>
    </row>
    <row r="11" spans="1:18" ht="26.25" customHeight="1">
      <c r="A11" s="11" t="s">
        <v>21</v>
      </c>
      <c r="B11" s="12">
        <v>17</v>
      </c>
      <c r="C11" s="13">
        <f>(100/21)*17</f>
        <v>80.95238095238095</v>
      </c>
      <c r="D11" s="14">
        <v>-2</v>
      </c>
      <c r="E11" s="15"/>
      <c r="F11" s="16"/>
      <c r="G11" s="16">
        <v>2695</v>
      </c>
      <c r="H11" s="13">
        <f>(100/3059)*2695</f>
        <v>88.10068649885584</v>
      </c>
      <c r="I11" s="24">
        <v>4</v>
      </c>
      <c r="J11" s="13">
        <f>(100/21)*4</f>
        <v>19.047619047619047</v>
      </c>
      <c r="K11" s="24">
        <v>364</v>
      </c>
      <c r="L11" s="13">
        <f t="shared" si="0"/>
        <v>11.899313501144164</v>
      </c>
      <c r="M11" s="20">
        <f>(981/2362)*100</f>
        <v>41.53259949195597</v>
      </c>
      <c r="N11" s="18">
        <f>(1073/2303)*100</f>
        <v>46.59140251845419</v>
      </c>
      <c r="O11" s="22">
        <f>(1005/2148)*100</f>
        <v>46.787709497206706</v>
      </c>
      <c r="P11" s="19">
        <v>3109</v>
      </c>
      <c r="Q11" s="20">
        <v>86</v>
      </c>
      <c r="R11" s="21">
        <v>92.9</v>
      </c>
    </row>
    <row r="12" spans="1:18" ht="26.25" customHeight="1">
      <c r="A12" s="11" t="s">
        <v>22</v>
      </c>
      <c r="B12" s="12">
        <v>3</v>
      </c>
      <c r="C12" s="13">
        <f>(100/8)*3</f>
        <v>37.5</v>
      </c>
      <c r="D12" s="14">
        <v>-3</v>
      </c>
      <c r="E12" s="15"/>
      <c r="F12" s="16"/>
      <c r="G12" s="16">
        <v>442</v>
      </c>
      <c r="H12" s="13">
        <f>(100/789)*442</f>
        <v>56.020278833967055</v>
      </c>
      <c r="I12" s="12">
        <v>5</v>
      </c>
      <c r="J12" s="13">
        <f>(100/8)*5</f>
        <v>62.5</v>
      </c>
      <c r="K12" s="12">
        <v>347</v>
      </c>
      <c r="L12" s="13">
        <f t="shared" si="0"/>
        <v>43.979721166032945</v>
      </c>
      <c r="M12" s="20">
        <f>(249/524)*100</f>
        <v>47.51908396946565</v>
      </c>
      <c r="N12" s="18">
        <f>(252/501)*100</f>
        <v>50.29940119760479</v>
      </c>
      <c r="O12" s="22">
        <f>(288/543)*100</f>
        <v>53.03867403314917</v>
      </c>
      <c r="P12" s="19">
        <v>623</v>
      </c>
      <c r="Q12" s="20">
        <v>85.1</v>
      </c>
      <c r="R12" s="21">
        <v>92.5</v>
      </c>
    </row>
    <row r="13" spans="1:18" ht="26.25" customHeight="1">
      <c r="A13" s="11" t="s">
        <v>23</v>
      </c>
      <c r="B13" s="12">
        <v>2</v>
      </c>
      <c r="C13" s="13">
        <f>(100/7)*2</f>
        <v>28.571428571428573</v>
      </c>
      <c r="D13" s="14">
        <v>-2</v>
      </c>
      <c r="E13" s="15"/>
      <c r="F13" s="16"/>
      <c r="G13" s="16">
        <v>294</v>
      </c>
      <c r="H13" s="13">
        <f>(100/1007)*294</f>
        <v>29.19563058589871</v>
      </c>
      <c r="I13" s="12">
        <v>5</v>
      </c>
      <c r="J13" s="13">
        <f>(100/7)*5</f>
        <v>71.42857142857143</v>
      </c>
      <c r="K13" s="12">
        <v>713</v>
      </c>
      <c r="L13" s="13">
        <f t="shared" si="0"/>
        <v>70.80436941410129</v>
      </c>
      <c r="M13" s="20">
        <f>(299/848)*100</f>
        <v>35.259433962264154</v>
      </c>
      <c r="N13" s="18">
        <f>(381/852)*100</f>
        <v>44.71830985915493</v>
      </c>
      <c r="O13" s="22">
        <f>(327/800)*100</f>
        <v>40.875</v>
      </c>
      <c r="P13" s="19">
        <v>1250</v>
      </c>
      <c r="Q13" s="20">
        <v>83.8</v>
      </c>
      <c r="R13" s="21">
        <v>93.6</v>
      </c>
    </row>
    <row r="14" spans="1:18" ht="26.25" customHeight="1">
      <c r="A14" s="11" t="s">
        <v>24</v>
      </c>
      <c r="B14" s="12">
        <v>4</v>
      </c>
      <c r="C14" s="13">
        <f>(100/6)*4</f>
        <v>66.66666666666667</v>
      </c>
      <c r="D14" s="14">
        <v>-2</v>
      </c>
      <c r="E14" s="15"/>
      <c r="F14" s="16"/>
      <c r="G14" s="16">
        <v>499</v>
      </c>
      <c r="H14" s="13">
        <f>(100/584)*499</f>
        <v>85.44520547945206</v>
      </c>
      <c r="I14" s="12">
        <v>2</v>
      </c>
      <c r="J14" s="13">
        <f>(100/6)*2</f>
        <v>33.333333333333336</v>
      </c>
      <c r="K14" s="12">
        <v>85</v>
      </c>
      <c r="L14" s="13">
        <f t="shared" si="0"/>
        <v>14.554794520547944</v>
      </c>
      <c r="M14" s="20">
        <f>(190/433)*100</f>
        <v>43.87990762124711</v>
      </c>
      <c r="N14" s="18">
        <f>(194/477)*100</f>
        <v>40.670859538784065</v>
      </c>
      <c r="O14" s="22">
        <f>(200/441)*100</f>
        <v>45.3514739229025</v>
      </c>
      <c r="P14" s="19">
        <v>752</v>
      </c>
      <c r="Q14" s="20">
        <v>97.9</v>
      </c>
      <c r="R14" s="21">
        <v>99.3</v>
      </c>
    </row>
    <row r="15" spans="1:18" ht="26.25" customHeight="1">
      <c r="A15" s="11" t="s">
        <v>25</v>
      </c>
      <c r="B15" s="12">
        <v>5</v>
      </c>
      <c r="C15" s="13">
        <f>(100/6)*5</f>
        <v>83.33333333333334</v>
      </c>
      <c r="D15" s="14">
        <v>-1</v>
      </c>
      <c r="E15" s="15"/>
      <c r="F15" s="16"/>
      <c r="G15" s="16">
        <v>411</v>
      </c>
      <c r="H15" s="13">
        <f>(100/456)*411</f>
        <v>90.13157894736841</v>
      </c>
      <c r="I15" s="12">
        <v>1</v>
      </c>
      <c r="J15" s="13">
        <f>(100/6)*1</f>
        <v>16.666666666666668</v>
      </c>
      <c r="K15" s="12">
        <v>45</v>
      </c>
      <c r="L15" s="13">
        <f t="shared" si="0"/>
        <v>9.86842105263159</v>
      </c>
      <c r="M15" s="20">
        <f>(144/618)*100</f>
        <v>23.300970873786408</v>
      </c>
      <c r="N15" s="18">
        <f>(155/602)*100</f>
        <v>25.74750830564784</v>
      </c>
      <c r="O15" s="22">
        <f>(157/634)*100</f>
        <v>24.76340694006309</v>
      </c>
      <c r="P15" s="19">
        <v>1221</v>
      </c>
      <c r="Q15" s="20">
        <v>88.3</v>
      </c>
      <c r="R15" s="21">
        <v>91.5</v>
      </c>
    </row>
    <row r="16" spans="1:18" ht="26.25" customHeight="1">
      <c r="A16" s="11" t="s">
        <v>26</v>
      </c>
      <c r="B16" s="12">
        <v>3</v>
      </c>
      <c r="C16" s="13">
        <v>100</v>
      </c>
      <c r="D16" s="14"/>
      <c r="E16" s="15"/>
      <c r="F16" s="16"/>
      <c r="G16" s="16">
        <v>283</v>
      </c>
      <c r="H16" s="13">
        <v>100</v>
      </c>
      <c r="I16" s="24" t="s">
        <v>27</v>
      </c>
      <c r="J16" s="25" t="s">
        <v>27</v>
      </c>
      <c r="K16" s="24" t="s">
        <v>27</v>
      </c>
      <c r="L16" s="25" t="s">
        <v>27</v>
      </c>
      <c r="M16" s="20">
        <f>(93/490)*100</f>
        <v>18.979591836734695</v>
      </c>
      <c r="N16" s="18">
        <f>(88/444)*100</f>
        <v>19.81981981981982</v>
      </c>
      <c r="O16" s="22">
        <f>(102/482)*100</f>
        <v>21.16182572614108</v>
      </c>
      <c r="P16" s="19">
        <v>1014</v>
      </c>
      <c r="Q16" s="20">
        <v>86.7</v>
      </c>
      <c r="R16" s="21">
        <v>94.2</v>
      </c>
    </row>
    <row r="17" spans="1:18" ht="26.25" customHeight="1">
      <c r="A17" s="11" t="s">
        <v>28</v>
      </c>
      <c r="B17" s="12">
        <v>4</v>
      </c>
      <c r="C17" s="13">
        <v>100</v>
      </c>
      <c r="D17" s="14">
        <v>-2</v>
      </c>
      <c r="E17" s="15"/>
      <c r="F17" s="16"/>
      <c r="G17" s="16">
        <v>672</v>
      </c>
      <c r="H17" s="13">
        <v>100</v>
      </c>
      <c r="I17" s="24" t="s">
        <v>27</v>
      </c>
      <c r="J17" s="25" t="s">
        <v>27</v>
      </c>
      <c r="K17" s="24" t="s">
        <v>27</v>
      </c>
      <c r="L17" s="25" t="s">
        <v>27</v>
      </c>
      <c r="M17" s="20">
        <f>(218/439)*100</f>
        <v>49.65831435079727</v>
      </c>
      <c r="N17" s="18">
        <f>(207/446)*100</f>
        <v>46.41255605381166</v>
      </c>
      <c r="O17" s="22">
        <f>(247/453)*100</f>
        <v>54.52538631346579</v>
      </c>
      <c r="P17" s="19">
        <v>584</v>
      </c>
      <c r="Q17" s="20">
        <v>91.3</v>
      </c>
      <c r="R17" s="21">
        <v>95.1</v>
      </c>
    </row>
    <row r="18" spans="1:18" ht="26.25" customHeight="1" thickBot="1">
      <c r="A18" s="26" t="s">
        <v>29</v>
      </c>
      <c r="B18" s="27">
        <f>SUM(B7:B17)</f>
        <v>98</v>
      </c>
      <c r="C18" s="28">
        <f>(100/148)*98</f>
        <v>66.21621621621621</v>
      </c>
      <c r="D18" s="29">
        <f>SUM(D7:D17)</f>
        <v>-34</v>
      </c>
      <c r="E18" s="30"/>
      <c r="F18" s="30"/>
      <c r="G18" s="30">
        <f>SUM(G7:G17)</f>
        <v>14546</v>
      </c>
      <c r="H18" s="28">
        <f>(100/18546)*14546</f>
        <v>78.4320069017578</v>
      </c>
      <c r="I18" s="27">
        <f>SUM(I7:I17)</f>
        <v>50</v>
      </c>
      <c r="J18" s="28">
        <f>(100/148)*50</f>
        <v>33.78378378378378</v>
      </c>
      <c r="K18" s="31">
        <f>SUM(K7:K17)</f>
        <v>4000</v>
      </c>
      <c r="L18" s="28">
        <f t="shared" si="0"/>
        <v>21.567993098242198</v>
      </c>
      <c r="M18" s="32">
        <f>(5533/14631)*100</f>
        <v>37.81696398058916</v>
      </c>
      <c r="N18" s="33">
        <f>(6404/14688)*100</f>
        <v>43.60021786492375</v>
      </c>
      <c r="O18" s="34">
        <f>(6609/14244)*100</f>
        <v>46.39848357203033</v>
      </c>
      <c r="P18" s="35">
        <f>SUM(P7:P17)</f>
        <v>21758</v>
      </c>
      <c r="Q18" s="32">
        <v>88.3</v>
      </c>
      <c r="R18" s="36">
        <v>96.5</v>
      </c>
    </row>
    <row r="19" spans="1:18" ht="26.25" customHeight="1">
      <c r="A19" s="37" t="s">
        <v>30</v>
      </c>
      <c r="B19" s="38">
        <v>7</v>
      </c>
      <c r="C19" s="39">
        <f>(100/12)*7</f>
        <v>58.333333333333336</v>
      </c>
      <c r="D19" s="40">
        <v>-6</v>
      </c>
      <c r="E19" s="41"/>
      <c r="F19" s="42"/>
      <c r="G19" s="42">
        <v>681</v>
      </c>
      <c r="H19" s="39">
        <f>(100/993)*681</f>
        <v>68.58006042296073</v>
      </c>
      <c r="I19" s="38">
        <v>5</v>
      </c>
      <c r="J19" s="39">
        <f>(100/12)*5</f>
        <v>41.66666666666667</v>
      </c>
      <c r="K19" s="38">
        <v>312</v>
      </c>
      <c r="L19" s="39">
        <f t="shared" si="0"/>
        <v>31.419939577039273</v>
      </c>
      <c r="M19" s="43">
        <v>59.7</v>
      </c>
      <c r="N19" s="44">
        <v>52.8</v>
      </c>
      <c r="O19" s="45">
        <v>56.4</v>
      </c>
      <c r="P19" s="46">
        <v>544</v>
      </c>
      <c r="Q19" s="43">
        <v>89.9</v>
      </c>
      <c r="R19" s="47">
        <v>85.5</v>
      </c>
    </row>
    <row r="20" spans="1:18" ht="26.25" customHeight="1">
      <c r="A20" s="11" t="s">
        <v>31</v>
      </c>
      <c r="B20" s="12">
        <v>10</v>
      </c>
      <c r="C20" s="13">
        <f>(100/16)*10</f>
        <v>62.5</v>
      </c>
      <c r="D20" s="14">
        <v>-9</v>
      </c>
      <c r="E20" s="15"/>
      <c r="F20" s="16"/>
      <c r="G20" s="16">
        <v>1037</v>
      </c>
      <c r="H20" s="39">
        <f>(100/1545)*1037</f>
        <v>67.11974110032362</v>
      </c>
      <c r="I20" s="12">
        <v>6</v>
      </c>
      <c r="J20" s="13">
        <f>(100/16)*6</f>
        <v>37.5</v>
      </c>
      <c r="K20" s="12">
        <v>508</v>
      </c>
      <c r="L20" s="13">
        <f t="shared" si="0"/>
        <v>32.88025889967638</v>
      </c>
      <c r="M20" s="20">
        <v>38.8</v>
      </c>
      <c r="N20" s="18">
        <v>38.2</v>
      </c>
      <c r="O20" s="22">
        <v>42.7</v>
      </c>
      <c r="P20" s="19">
        <v>1997</v>
      </c>
      <c r="Q20" s="20">
        <v>90.1</v>
      </c>
      <c r="R20" s="21">
        <v>92.1</v>
      </c>
    </row>
    <row r="21" spans="1:18" ht="26.25" customHeight="1">
      <c r="A21" s="11" t="s">
        <v>32</v>
      </c>
      <c r="B21" s="12">
        <v>3</v>
      </c>
      <c r="C21" s="13">
        <f>(100/10)*3</f>
        <v>30</v>
      </c>
      <c r="D21" s="14">
        <v>-4</v>
      </c>
      <c r="E21" s="15"/>
      <c r="F21" s="16"/>
      <c r="G21" s="16">
        <v>264</v>
      </c>
      <c r="H21" s="13">
        <f>(100/556)*264</f>
        <v>47.482014388489205</v>
      </c>
      <c r="I21" s="12">
        <v>8</v>
      </c>
      <c r="J21" s="13">
        <f>(100/10)*7</f>
        <v>70</v>
      </c>
      <c r="K21" s="12">
        <v>292</v>
      </c>
      <c r="L21" s="13">
        <f t="shared" si="0"/>
        <v>52.517985611510795</v>
      </c>
      <c r="M21" s="20">
        <v>40.1</v>
      </c>
      <c r="N21" s="18">
        <v>42.4</v>
      </c>
      <c r="O21" s="22">
        <v>68.2</v>
      </c>
      <c r="P21" s="19">
        <v>554</v>
      </c>
      <c r="Q21" s="20">
        <v>81.3</v>
      </c>
      <c r="R21" s="21">
        <v>104</v>
      </c>
    </row>
    <row r="22" spans="1:18" ht="26.25" customHeight="1">
      <c r="A22" s="11" t="s">
        <v>33</v>
      </c>
      <c r="B22" s="24" t="s">
        <v>27</v>
      </c>
      <c r="C22" s="25" t="s">
        <v>27</v>
      </c>
      <c r="D22" s="14"/>
      <c r="E22" s="15"/>
      <c r="F22" s="16"/>
      <c r="G22" s="16" t="s">
        <v>27</v>
      </c>
      <c r="H22" s="48" t="s">
        <v>27</v>
      </c>
      <c r="I22" s="12">
        <v>4</v>
      </c>
      <c r="J22" s="13">
        <v>100</v>
      </c>
      <c r="K22" s="12">
        <v>295</v>
      </c>
      <c r="L22" s="13">
        <v>100</v>
      </c>
      <c r="M22" s="20">
        <v>43.3</v>
      </c>
      <c r="N22" s="18">
        <v>36.8</v>
      </c>
      <c r="O22" s="22">
        <v>52.1</v>
      </c>
      <c r="P22" s="19">
        <v>337</v>
      </c>
      <c r="Q22" s="20">
        <v>85.1</v>
      </c>
      <c r="R22" s="21">
        <v>99.1</v>
      </c>
    </row>
    <row r="23" spans="1:18" ht="26.25" customHeight="1">
      <c r="A23" s="11" t="s">
        <v>34</v>
      </c>
      <c r="B23" s="12">
        <v>2</v>
      </c>
      <c r="C23" s="13">
        <v>100</v>
      </c>
      <c r="D23" s="14"/>
      <c r="E23" s="15"/>
      <c r="F23" s="16"/>
      <c r="G23" s="16" t="s">
        <v>27</v>
      </c>
      <c r="H23" s="48" t="s">
        <v>27</v>
      </c>
      <c r="I23" s="24" t="s">
        <v>27</v>
      </c>
      <c r="J23" s="25" t="s">
        <v>27</v>
      </c>
      <c r="K23" s="24" t="s">
        <v>27</v>
      </c>
      <c r="L23" s="25" t="s">
        <v>27</v>
      </c>
      <c r="M23" s="49" t="s">
        <v>35</v>
      </c>
      <c r="N23" s="50" t="s">
        <v>35</v>
      </c>
      <c r="O23" s="51" t="s">
        <v>35</v>
      </c>
      <c r="P23" s="19">
        <v>327</v>
      </c>
      <c r="Q23" s="20">
        <v>92.8</v>
      </c>
      <c r="R23" s="21">
        <v>99.1</v>
      </c>
    </row>
    <row r="24" spans="1:18" ht="26.25" customHeight="1">
      <c r="A24" s="11" t="s">
        <v>36</v>
      </c>
      <c r="B24" s="12">
        <v>2</v>
      </c>
      <c r="C24" s="13">
        <f>(100/26)*2</f>
        <v>7.6923076923076925</v>
      </c>
      <c r="D24" s="14">
        <v>-1</v>
      </c>
      <c r="E24" s="15"/>
      <c r="F24" s="16"/>
      <c r="G24" s="16">
        <v>110</v>
      </c>
      <c r="H24" s="39">
        <f>(100/1537)*110</f>
        <v>7.15679895901106</v>
      </c>
      <c r="I24" s="24">
        <v>25</v>
      </c>
      <c r="J24" s="13">
        <f>(100/26)*24</f>
        <v>92.3076923076923</v>
      </c>
      <c r="K24" s="12">
        <v>1427</v>
      </c>
      <c r="L24" s="13">
        <f t="shared" si="0"/>
        <v>92.84320104098894</v>
      </c>
      <c r="M24" s="20">
        <v>55.3</v>
      </c>
      <c r="N24" s="18">
        <v>61.8</v>
      </c>
      <c r="O24" s="22">
        <v>62.6</v>
      </c>
      <c r="P24" s="19">
        <v>960</v>
      </c>
      <c r="Q24" s="20">
        <v>89.6</v>
      </c>
      <c r="R24" s="21">
        <v>101.1</v>
      </c>
    </row>
    <row r="25" spans="1:18" ht="26.25" customHeight="1">
      <c r="A25" s="11" t="s">
        <v>37</v>
      </c>
      <c r="B25" s="12">
        <v>1</v>
      </c>
      <c r="C25" s="13">
        <f>(100/3)*1</f>
        <v>33.333333333333336</v>
      </c>
      <c r="D25" s="14"/>
      <c r="E25" s="15"/>
      <c r="F25" s="16"/>
      <c r="G25" s="16">
        <v>94</v>
      </c>
      <c r="H25" s="39">
        <f>(100/349)*94</f>
        <v>26.934097421203436</v>
      </c>
      <c r="I25" s="12">
        <v>2</v>
      </c>
      <c r="J25" s="13">
        <f>(100/3)*2</f>
        <v>66.66666666666667</v>
      </c>
      <c r="K25" s="12">
        <v>255</v>
      </c>
      <c r="L25" s="13">
        <f t="shared" si="0"/>
        <v>73.06590257879657</v>
      </c>
      <c r="M25" s="20">
        <v>33</v>
      </c>
      <c r="N25" s="18">
        <v>26.4</v>
      </c>
      <c r="O25" s="22">
        <v>25.6</v>
      </c>
      <c r="P25" s="19">
        <v>663</v>
      </c>
      <c r="Q25" s="20">
        <v>88.1</v>
      </c>
      <c r="R25" s="21">
        <v>78.5</v>
      </c>
    </row>
    <row r="26" spans="1:18" ht="26.25" customHeight="1">
      <c r="A26" s="11" t="s">
        <v>38</v>
      </c>
      <c r="B26" s="12">
        <v>2</v>
      </c>
      <c r="C26" s="13">
        <f>(100/3)*2</f>
        <v>66.66666666666667</v>
      </c>
      <c r="D26" s="14"/>
      <c r="E26" s="15"/>
      <c r="F26" s="16"/>
      <c r="G26" s="16">
        <v>411</v>
      </c>
      <c r="H26" s="39">
        <f>(100/580)</f>
        <v>0.1724137931034483</v>
      </c>
      <c r="I26" s="12">
        <v>1</v>
      </c>
      <c r="J26" s="13">
        <v>33.3</v>
      </c>
      <c r="K26" s="12">
        <v>169</v>
      </c>
      <c r="L26" s="13">
        <f t="shared" si="0"/>
        <v>99.82758620689656</v>
      </c>
      <c r="M26" s="20">
        <v>28</v>
      </c>
      <c r="N26" s="18">
        <v>37.6</v>
      </c>
      <c r="O26" s="22">
        <v>43.6</v>
      </c>
      <c r="P26" s="19">
        <v>790</v>
      </c>
      <c r="Q26" s="20">
        <v>82.4</v>
      </c>
      <c r="R26" s="21">
        <v>87.6</v>
      </c>
    </row>
    <row r="27" spans="1:18" ht="26.25" customHeight="1">
      <c r="A27" s="11" t="s">
        <v>39</v>
      </c>
      <c r="B27" s="12">
        <v>7</v>
      </c>
      <c r="C27" s="13">
        <f>(100/13)*7</f>
        <v>53.84615384615385</v>
      </c>
      <c r="D27" s="14">
        <v>-5</v>
      </c>
      <c r="E27" s="15"/>
      <c r="F27" s="16"/>
      <c r="G27" s="16">
        <v>1127</v>
      </c>
      <c r="H27" s="39">
        <f>(100/1848)*1127</f>
        <v>60.984848484848484</v>
      </c>
      <c r="I27" s="12">
        <v>6</v>
      </c>
      <c r="J27" s="13">
        <f>(100/13)*6</f>
        <v>46.15384615384615</v>
      </c>
      <c r="K27" s="12">
        <v>721</v>
      </c>
      <c r="L27" s="13">
        <f t="shared" si="0"/>
        <v>39.015151515151516</v>
      </c>
      <c r="M27" s="20">
        <v>55.7</v>
      </c>
      <c r="N27" s="18">
        <v>64.2</v>
      </c>
      <c r="O27" s="22">
        <v>63</v>
      </c>
      <c r="P27" s="19">
        <v>981</v>
      </c>
      <c r="Q27" s="20">
        <v>89.4</v>
      </c>
      <c r="R27" s="21">
        <v>95.3</v>
      </c>
    </row>
    <row r="28" spans="1:18" ht="26.25" customHeight="1" thickBot="1">
      <c r="A28" s="26" t="s">
        <v>40</v>
      </c>
      <c r="B28" s="27">
        <f>SUM(B19:B27)</f>
        <v>34</v>
      </c>
      <c r="C28" s="28">
        <f>(100/89)*34</f>
        <v>38.20224719101124</v>
      </c>
      <c r="D28" s="29">
        <f>SUM(D19:D27)</f>
        <v>-25</v>
      </c>
      <c r="E28" s="52"/>
      <c r="F28" s="52"/>
      <c r="G28" s="52">
        <f>SUM(G19:G27)</f>
        <v>3724</v>
      </c>
      <c r="H28" s="28">
        <f>(100/7703)*3724</f>
        <v>48.34480072698948</v>
      </c>
      <c r="I28" s="27">
        <f>SUM(I19:I27)</f>
        <v>57</v>
      </c>
      <c r="J28" s="28">
        <f>(100/89)*55</f>
        <v>61.79775280898877</v>
      </c>
      <c r="K28" s="31">
        <f>SUM(K19:K27)</f>
        <v>3979</v>
      </c>
      <c r="L28" s="28">
        <f t="shared" si="0"/>
        <v>51.65519927301052</v>
      </c>
      <c r="M28" s="32">
        <v>44.9</v>
      </c>
      <c r="N28" s="33">
        <v>46.6</v>
      </c>
      <c r="O28" s="34">
        <v>51.2</v>
      </c>
      <c r="P28" s="35">
        <f>SUM(P19:P27)</f>
        <v>7153</v>
      </c>
      <c r="Q28" s="32">
        <v>88.2</v>
      </c>
      <c r="R28" s="36">
        <v>93.1</v>
      </c>
    </row>
    <row r="29" spans="1:18" ht="26.25" customHeight="1" thickBot="1">
      <c r="A29" s="53" t="s">
        <v>41</v>
      </c>
      <c r="B29" s="54">
        <f>SUM(B28+B18)</f>
        <v>132</v>
      </c>
      <c r="C29" s="55">
        <f>(100/237)*132</f>
        <v>55.69620253164557</v>
      </c>
      <c r="D29" s="56">
        <f>D28+D18</f>
        <v>-59</v>
      </c>
      <c r="E29" s="57"/>
      <c r="F29" s="57"/>
      <c r="G29" s="57">
        <f>SUM(G28+G18)</f>
        <v>18270</v>
      </c>
      <c r="H29" s="55">
        <f>(100/26249)*18270</f>
        <v>69.60265152958208</v>
      </c>
      <c r="I29" s="58">
        <f>SUM(I28+I18)</f>
        <v>107</v>
      </c>
      <c r="J29" s="55">
        <f>(100/237)*105</f>
        <v>44.30379746835443</v>
      </c>
      <c r="K29" s="54">
        <f>SUM(K28+K18)</f>
        <v>7979</v>
      </c>
      <c r="L29" s="55">
        <f t="shared" si="0"/>
        <v>30.397348470417924</v>
      </c>
      <c r="M29" s="59">
        <v>83.2</v>
      </c>
      <c r="N29" s="60">
        <v>21.5</v>
      </c>
      <c r="O29" s="61">
        <v>23.1</v>
      </c>
      <c r="P29" s="62">
        <f>P28+P18</f>
        <v>28911</v>
      </c>
      <c r="Q29" s="59">
        <v>88.3</v>
      </c>
      <c r="R29" s="63">
        <v>95.5</v>
      </c>
    </row>
    <row r="31" spans="1:13" ht="13.5">
      <c r="A31" s="64" t="s">
        <v>42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1:13" ht="13.5">
      <c r="A32" s="64" t="s">
        <v>43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</row>
    <row r="33" spans="1:13" ht="13.5">
      <c r="A33" s="64" t="s">
        <v>44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</row>
    <row r="34" spans="1:13" ht="13.5">
      <c r="A34" s="65" t="s">
        <v>45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</row>
    <row r="35" spans="1:13" ht="13.5">
      <c r="A35" s="66" t="s">
        <v>46</v>
      </c>
      <c r="B35" s="67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</row>
  </sheetData>
  <mergeCells count="11">
    <mergeCell ref="Q3:R4"/>
    <mergeCell ref="B5:H5"/>
    <mergeCell ref="I5:L5"/>
    <mergeCell ref="M5:O5"/>
    <mergeCell ref="Q5:Q6"/>
    <mergeCell ref="R5:R6"/>
    <mergeCell ref="D6:G6"/>
    <mergeCell ref="A35:M35"/>
    <mergeCell ref="A3:A6"/>
    <mergeCell ref="B3:O4"/>
    <mergeCell ref="P3:P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zak605</dc:creator>
  <cp:keywords/>
  <dc:description/>
  <cp:lastModifiedBy>zak605</cp:lastModifiedBy>
  <dcterms:created xsi:type="dcterms:W3CDTF">2006-02-13T01:46:43Z</dcterms:created>
  <dcterms:modified xsi:type="dcterms:W3CDTF">2006-02-13T02:44:57Z</dcterms:modified>
  <cp:category/>
  <cp:version/>
  <cp:contentType/>
  <cp:contentStatus/>
</cp:coreProperties>
</file>